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300" windowHeight="11370" tabRatio="728" activeTab="0"/>
  </bookViews>
  <sheets>
    <sheet name="1" sheetId="1" r:id="rId1"/>
    <sheet name="Hoja2" sheetId="2" r:id="rId2"/>
    <sheet name="Hoja1" sheetId="3" state="hidden" r:id="rId3"/>
  </sheets>
  <definedNames/>
  <calcPr fullCalcOnLoad="1"/>
</workbook>
</file>

<file path=xl/sharedStrings.xml><?xml version="1.0" encoding="utf-8"?>
<sst xmlns="http://schemas.openxmlformats.org/spreadsheetml/2006/main" count="262" uniqueCount="78">
  <si>
    <t>-</t>
  </si>
  <si>
    <t>AVELLANEDA</t>
  </si>
  <si>
    <t>HURLINGHAM</t>
  </si>
  <si>
    <t>ITUZAINGO</t>
  </si>
  <si>
    <t>LANUS</t>
  </si>
  <si>
    <t>MORON</t>
  </si>
  <si>
    <t>SAN ISIDRO</t>
  </si>
  <si>
    <t>TRES DE FEBRERO</t>
  </si>
  <si>
    <t>VICENTE LOPEZ</t>
  </si>
  <si>
    <t>ALMIRANTE BROWN</t>
  </si>
  <si>
    <t>BERAZATEGUI</t>
  </si>
  <si>
    <t>ESTEBAN ECHEVERRIA</t>
  </si>
  <si>
    <t>EZEIZA</t>
  </si>
  <si>
    <t>FLORENCIO VARELA</t>
  </si>
  <si>
    <t>JOSE C. PAZ</t>
  </si>
  <si>
    <t>LOMAS DE ZAMORA</t>
  </si>
  <si>
    <t>MALVINAS ARGENTINAS</t>
  </si>
  <si>
    <t>QUILMES</t>
  </si>
  <si>
    <t>SAN FERNANDO</t>
  </si>
  <si>
    <t>SAN MIGUEL</t>
  </si>
  <si>
    <t>TIGRE</t>
  </si>
  <si>
    <t xml:space="preserve"> </t>
  </si>
  <si>
    <t>V</t>
  </si>
  <si>
    <t>GRAL. SAN MARTIN</t>
  </si>
  <si>
    <t>VII</t>
  </si>
  <si>
    <t>MERLO</t>
  </si>
  <si>
    <t>VI</t>
  </si>
  <si>
    <t>Año</t>
  </si>
  <si>
    <t>MORENO</t>
  </si>
  <si>
    <t>LA MATANZA</t>
  </si>
  <si>
    <t>Total 24 partidos</t>
  </si>
  <si>
    <t>Total camas</t>
  </si>
  <si>
    <t>Total habitantes</t>
  </si>
  <si>
    <t>Camas cada 10.000 habitantes</t>
  </si>
  <si>
    <r>
      <rPr>
        <b/>
        <sz val="9"/>
        <rFont val="Calibri"/>
        <family val="2"/>
      </rPr>
      <t>Notas:</t>
    </r>
    <r>
      <rPr>
        <sz val="9"/>
        <rFont val="Calibri"/>
        <family val="2"/>
      </rPr>
      <t xml:space="preserve"> </t>
    </r>
  </si>
  <si>
    <r>
      <rPr>
        <b/>
        <sz val="9"/>
        <rFont val="Calibri"/>
        <family val="2"/>
      </rPr>
      <t>Promedio de camas disponibles:</t>
    </r>
    <r>
      <rPr>
        <sz val="9"/>
        <rFont val="Calibri"/>
        <family val="2"/>
      </rPr>
      <t xml:space="preserve"> </t>
    </r>
    <r>
      <rPr>
        <sz val="9"/>
        <color indexed="8"/>
        <rFont val="Calibri"/>
        <family val="2"/>
      </rPr>
      <t xml:space="preserve">es el número de camas realmente instaladas en el establecimiento en condiciones de uso para la atención de pacientes internados, independientemente de que estén o no ocupadas. Se consignó el promedio diario de camas disponibles del año de referencia.
</t>
    </r>
  </si>
  <si>
    <r>
      <rPr>
        <b/>
        <sz val="9"/>
        <rFont val="Calibri"/>
        <family val="2"/>
      </rPr>
      <t>Subsector oficial:</t>
    </r>
    <r>
      <rPr>
        <sz val="9"/>
        <rFont val="Calibri"/>
        <family val="2"/>
      </rPr>
      <t xml:space="preserve"> incluye todos los establecimientos que dependen de los distintos niveles de la administración pública.</t>
    </r>
  </si>
  <si>
    <r>
      <t xml:space="preserve">2010 </t>
    </r>
    <r>
      <rPr>
        <b/>
        <sz val="8"/>
        <color indexed="9"/>
        <rFont val="Calibri"/>
        <family val="2"/>
      </rPr>
      <t>(2)</t>
    </r>
  </si>
  <si>
    <r>
      <t xml:space="preserve">Región sanitaria </t>
    </r>
    <r>
      <rPr>
        <b/>
        <sz val="8"/>
        <color indexed="9"/>
        <rFont val="Calibri"/>
        <family val="2"/>
      </rPr>
      <t>(1)</t>
    </r>
  </si>
  <si>
    <t>(1) Regionalización correspondiente al año 2018.</t>
  </si>
  <si>
    <t>(2) Población según Censo Nacional de Población, Hogares y Viviendas 2010. Para el resto de los años se utilizaron las estimaciones de población total por departamento y año calendario del INDEC.</t>
  </si>
  <si>
    <t>XII</t>
  </si>
  <si>
    <t>Partido</t>
  </si>
  <si>
    <t>Promedio de camas disponibles cada 10.000 habitantes en establecimientos del subsector oficial, por partido</t>
  </si>
  <si>
    <t>Promedio de camas disponibles cada 10.000 habitantes en establecimientos del subsector oficial, por región sanitaria</t>
  </si>
  <si>
    <t>https://www.indec.gov.ar/nuevaweb/cuadros/2/estimaciones-serie34.pdf</t>
  </si>
  <si>
    <t>https://www.indec.gob.ar/bajarCuadroEstadistico.asp?idc=49EDEB0DE91FA992D73D7D1520B774813400458ED8029A293169A3AEE08A74142C8640B7AC254DC0</t>
  </si>
  <si>
    <t>Total Provincia de Buenos Aires</t>
  </si>
  <si>
    <r>
      <t>Promedio de camas disponibles cada 10.000 habitantes en establecimientos del subsector oficial:</t>
    </r>
    <r>
      <rPr>
        <sz val="9"/>
        <rFont val="Calibri"/>
        <family val="2"/>
      </rPr>
      <t xml:space="preserve"> Es la relación entre la cantidad de camas disponibles en cada departamento   y el número de habitantes, en un año dado, multplicada por 10.000. </t>
    </r>
  </si>
  <si>
    <t xml:space="preserve">Partido </t>
  </si>
  <si>
    <t>Camas</t>
  </si>
  <si>
    <r>
      <rPr>
        <b/>
        <sz val="9"/>
        <rFont val="Calibri"/>
        <family val="2"/>
      </rPr>
      <t>Fuente:</t>
    </r>
    <r>
      <rPr>
        <sz val="9"/>
        <rFont val="Calibri"/>
        <family val="2"/>
      </rPr>
      <t xml:space="preserve">  Elaboración del Grupo de Trabajo - Diseño y Gestión de Políticas de Salud en base a datos de la Dirección de Información Sistematizada del Ministerio de Salud de la Provincia de Buenos Aires; INDEC, Censo Nacional de Población, Hogares y Viviendas 2010; INDEC, Estimaciones de población total por departamento y año calendario.</t>
    </r>
  </si>
  <si>
    <t>Almirante Brown</t>
  </si>
  <si>
    <t>Avellaneda</t>
  </si>
  <si>
    <t>Berazategui</t>
  </si>
  <si>
    <t>Esteban Echeverria</t>
  </si>
  <si>
    <t>Ezeiza</t>
  </si>
  <si>
    <t>Florencio Varela</t>
  </si>
  <si>
    <t>San Martin</t>
  </si>
  <si>
    <t>Hurlingham</t>
  </si>
  <si>
    <t>Jose C. Paz</t>
  </si>
  <si>
    <t>La Matanza</t>
  </si>
  <si>
    <t>Lanus</t>
  </si>
  <si>
    <t>Lomas de Zamora</t>
  </si>
  <si>
    <t>Malvinas Argentinas</t>
  </si>
  <si>
    <t>Merlo</t>
  </si>
  <si>
    <t>Moreno</t>
  </si>
  <si>
    <t>Morón</t>
  </si>
  <si>
    <t>Quilmes</t>
  </si>
  <si>
    <t>San Fernando</t>
  </si>
  <si>
    <t>San Isidro</t>
  </si>
  <si>
    <t>San Miguel</t>
  </si>
  <si>
    <t>Tigre</t>
  </si>
  <si>
    <t>Tres de Febrero</t>
  </si>
  <si>
    <t>Vicente Lopez</t>
  </si>
  <si>
    <t>Ituzaingo</t>
  </si>
  <si>
    <t>Regiones sanitarias del conurbano bonaerense. Años 2003-2020</t>
  </si>
  <si>
    <t xml:space="preserve"> 24 Partidos del conurbano bonaerense y Provincia de Buenos Aires. Años 2003-2021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</si>
</sst>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0.0"/>
    <numFmt numFmtId="187" formatCode="#,##0.0"/>
    <numFmt numFmtId="188" formatCode="_-* #,##0\ _€_-;\-* #,##0\ _€_-;_-* &quot;-&quot;??\ _€_-;_-@_-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#,##0.000"/>
    <numFmt numFmtId="194" formatCode="_-* #,##0.0_-;\-* #,##0.0_-;_-* &quot;-&quot;??_-;_-@_-"/>
    <numFmt numFmtId="195" formatCode="#,##0.0_ ;\-#,##0.0\ "/>
    <numFmt numFmtId="196" formatCode="#.##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Calibri"/>
      <family val="2"/>
    </font>
    <font>
      <b/>
      <sz val="9"/>
      <name val="Calibri"/>
      <family val="2"/>
    </font>
    <font>
      <sz val="9"/>
      <color indexed="8"/>
      <name val="Calibri"/>
      <family val="2"/>
    </font>
    <font>
      <sz val="9"/>
      <name val="MS Sans Serif"/>
      <family val="2"/>
    </font>
    <font>
      <b/>
      <sz val="8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9"/>
      <color indexed="8"/>
      <name val="Calibri"/>
      <family val="2"/>
    </font>
    <font>
      <u val="single"/>
      <sz val="9"/>
      <color indexed="12"/>
      <name val="Calibri"/>
      <family val="2"/>
    </font>
    <font>
      <b/>
      <sz val="12"/>
      <color indexed="63"/>
      <name val="Calibri"/>
      <family val="2"/>
    </font>
    <font>
      <b/>
      <sz val="14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u val="single"/>
      <sz val="9"/>
      <color theme="10"/>
      <name val="Calibri"/>
      <family val="2"/>
    </font>
    <font>
      <b/>
      <sz val="12"/>
      <color rgb="FF333333"/>
      <name val="Calibri"/>
      <family val="2"/>
    </font>
    <font>
      <sz val="1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97531"/>
        <bgColor indexed="64"/>
      </patternFill>
    </fill>
    <fill>
      <patternFill patternType="solid">
        <fgColor rgb="FF3185C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21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3" fillId="28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7" fillId="30" borderId="0" applyNumberFormat="0" applyBorder="0" applyAlignment="0" applyProtection="0"/>
    <xf numFmtId="0" fontId="2" fillId="0" borderId="0">
      <alignment/>
      <protection/>
    </xf>
    <xf numFmtId="0" fontId="1" fillId="31" borderId="5" applyNumberFormat="0" applyFont="0" applyAlignment="0" applyProtection="0"/>
    <xf numFmtId="9" fontId="1" fillId="0" borderId="0" applyFont="0" applyFill="0" applyBorder="0" applyAlignment="0" applyProtection="0"/>
    <xf numFmtId="0" fontId="48" fillId="20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2" fillId="0" borderId="8" applyNumberFormat="0" applyFill="0" applyAlignment="0" applyProtection="0"/>
    <xf numFmtId="0" fontId="53" fillId="0" borderId="9" applyNumberFormat="0" applyFill="0" applyAlignment="0" applyProtection="0"/>
  </cellStyleXfs>
  <cellXfs count="214">
    <xf numFmtId="0" fontId="0" fillId="0" borderId="0" xfId="0" applyFont="1" applyAlignment="1">
      <alignment/>
    </xf>
    <xf numFmtId="3" fontId="1" fillId="0" borderId="0" xfId="0" applyNumberFormat="1" applyFont="1" applyAlignment="1">
      <alignment horizontal="center" vertical="center"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center" vertical="center"/>
    </xf>
    <xf numFmtId="3" fontId="26" fillId="0" borderId="0" xfId="54" applyNumberFormat="1" applyFont="1" applyFill="1" applyAlignment="1">
      <alignment horizontal="center"/>
      <protection/>
    </xf>
    <xf numFmtId="3" fontId="0" fillId="0" borderId="0" xfId="0" applyNumberFormat="1" applyFont="1" applyAlignment="1">
      <alignment horizontal="right"/>
    </xf>
    <xf numFmtId="3" fontId="1" fillId="0" borderId="0" xfId="0" applyNumberFormat="1" applyFont="1" applyFill="1" applyAlignment="1" applyProtection="1">
      <alignment/>
      <protection locked="0"/>
    </xf>
    <xf numFmtId="3" fontId="0" fillId="0" borderId="0" xfId="0" applyNumberFormat="1" applyFont="1" applyFill="1" applyAlignment="1">
      <alignment/>
    </xf>
    <xf numFmtId="3" fontId="1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3" fontId="26" fillId="32" borderId="0" xfId="0" applyNumberFormat="1" applyFont="1" applyFill="1" applyBorder="1" applyAlignment="1">
      <alignment/>
    </xf>
    <xf numFmtId="3" fontId="27" fillId="32" borderId="0" xfId="0" applyNumberFormat="1" applyFont="1" applyFill="1" applyBorder="1" applyAlignment="1">
      <alignment horizontal="center"/>
    </xf>
    <xf numFmtId="3" fontId="26" fillId="0" borderId="10" xfId="0" applyNumberFormat="1" applyFont="1" applyFill="1" applyBorder="1" applyAlignment="1">
      <alignment/>
    </xf>
    <xf numFmtId="3" fontId="27" fillId="0" borderId="10" xfId="0" applyNumberFormat="1" applyFont="1" applyFill="1" applyBorder="1" applyAlignment="1">
      <alignment horizontal="center"/>
    </xf>
    <xf numFmtId="3" fontId="1" fillId="0" borderId="11" xfId="0" applyNumberFormat="1" applyFont="1" applyBorder="1" applyAlignment="1">
      <alignment horizontal="right" vertical="center"/>
    </xf>
    <xf numFmtId="3" fontId="27" fillId="0" borderId="12" xfId="0" applyNumberFormat="1" applyFont="1" applyFill="1" applyBorder="1" applyAlignment="1">
      <alignment horizontal="center"/>
    </xf>
    <xf numFmtId="3" fontId="1" fillId="0" borderId="0" xfId="0" applyNumberFormat="1" applyFont="1" applyBorder="1" applyAlignment="1">
      <alignment horizontal="right" vertical="center"/>
    </xf>
    <xf numFmtId="3" fontId="1" fillId="0" borderId="13" xfId="0" applyNumberFormat="1" applyFont="1" applyBorder="1" applyAlignment="1">
      <alignment horizontal="right" vertical="center"/>
    </xf>
    <xf numFmtId="3" fontId="1" fillId="0" borderId="0" xfId="0" applyNumberFormat="1" applyFont="1" applyBorder="1" applyAlignment="1">
      <alignment horizontal="center" vertical="center"/>
    </xf>
    <xf numFmtId="3" fontId="26" fillId="0" borderId="11" xfId="54" applyNumberFormat="1" applyFont="1" applyFill="1" applyBorder="1" applyAlignment="1">
      <alignment horizontal="right" vertical="center"/>
      <protection/>
    </xf>
    <xf numFmtId="3" fontId="0" fillId="0" borderId="0" xfId="0" applyNumberFormat="1" applyFont="1" applyBorder="1" applyAlignment="1">
      <alignment horizontal="right" vertical="center"/>
    </xf>
    <xf numFmtId="3" fontId="8" fillId="0" borderId="0" xfId="0" applyNumberFormat="1" applyFont="1" applyBorder="1" applyAlignment="1">
      <alignment horizontal="right" vertical="center"/>
    </xf>
    <xf numFmtId="3" fontId="0" fillId="0" borderId="11" xfId="0" applyNumberFormat="1" applyFont="1" applyBorder="1" applyAlignment="1">
      <alignment horizontal="right" vertical="center"/>
    </xf>
    <xf numFmtId="3" fontId="0" fillId="0" borderId="11" xfId="0" applyNumberFormat="1" applyFont="1" applyFill="1" applyBorder="1" applyAlignment="1">
      <alignment horizontal="right" vertical="center"/>
    </xf>
    <xf numFmtId="3" fontId="1" fillId="0" borderId="14" xfId="0" applyNumberFormat="1" applyFont="1" applyBorder="1" applyAlignment="1">
      <alignment horizontal="right" vertical="center"/>
    </xf>
    <xf numFmtId="3" fontId="0" fillId="0" borderId="14" xfId="0" applyNumberFormat="1" applyFont="1" applyBorder="1" applyAlignment="1">
      <alignment horizontal="right" vertical="center"/>
    </xf>
    <xf numFmtId="3" fontId="26" fillId="0" borderId="0" xfId="54" applyNumberFormat="1" applyFont="1" applyFill="1" applyBorder="1" applyAlignment="1">
      <alignment horizontal="right" vertical="center"/>
      <protection/>
    </xf>
    <xf numFmtId="3" fontId="26" fillId="0" borderId="14" xfId="54" applyNumberFormat="1" applyFont="1" applyFill="1" applyBorder="1" applyAlignment="1">
      <alignment horizontal="right" vertical="center"/>
      <protection/>
    </xf>
    <xf numFmtId="187" fontId="0" fillId="0" borderId="15" xfId="0" applyNumberFormat="1" applyFont="1" applyBorder="1" applyAlignment="1">
      <alignment horizontal="right"/>
    </xf>
    <xf numFmtId="187" fontId="0" fillId="0" borderId="16" xfId="0" applyNumberFormat="1" applyFont="1" applyBorder="1" applyAlignment="1">
      <alignment horizontal="right"/>
    </xf>
    <xf numFmtId="187" fontId="0" fillId="0" borderId="0" xfId="0" applyNumberFormat="1" applyFont="1" applyBorder="1" applyAlignment="1">
      <alignment horizontal="right"/>
    </xf>
    <xf numFmtId="187" fontId="0" fillId="0" borderId="13" xfId="0" applyNumberFormat="1" applyFont="1" applyBorder="1" applyAlignment="1">
      <alignment horizontal="right"/>
    </xf>
    <xf numFmtId="187" fontId="0" fillId="0" borderId="15" xfId="0" applyNumberFormat="1" applyFont="1" applyFill="1" applyBorder="1" applyAlignment="1">
      <alignment horizontal="right"/>
    </xf>
    <xf numFmtId="187" fontId="0" fillId="0" borderId="16" xfId="0" applyNumberFormat="1" applyFont="1" applyFill="1" applyBorder="1" applyAlignment="1">
      <alignment horizontal="right"/>
    </xf>
    <xf numFmtId="3" fontId="4" fillId="0" borderId="0" xfId="54" applyNumberFormat="1" applyFont="1" applyFill="1">
      <alignment/>
      <protection/>
    </xf>
    <xf numFmtId="3" fontId="3" fillId="0" borderId="0" xfId="54" applyNumberFormat="1" applyFont="1" applyFill="1">
      <alignment/>
      <protection/>
    </xf>
    <xf numFmtId="3" fontId="54" fillId="0" borderId="0" xfId="0" applyNumberFormat="1" applyFont="1" applyAlignment="1">
      <alignment/>
    </xf>
    <xf numFmtId="3" fontId="28" fillId="0" borderId="0" xfId="0" applyNumberFormat="1" applyFont="1" applyBorder="1" applyAlignment="1">
      <alignment horizontal="right" vertical="center"/>
    </xf>
    <xf numFmtId="3" fontId="54" fillId="0" borderId="0" xfId="0" applyNumberFormat="1" applyFont="1" applyBorder="1" applyAlignment="1">
      <alignment/>
    </xf>
    <xf numFmtId="3" fontId="28" fillId="0" borderId="0" xfId="0" applyNumberFormat="1" applyFont="1" applyBorder="1" applyAlignment="1">
      <alignment/>
    </xf>
    <xf numFmtId="3" fontId="3" fillId="0" borderId="0" xfId="54" applyNumberFormat="1" applyFont="1" applyFill="1">
      <alignment/>
      <protection/>
    </xf>
    <xf numFmtId="3" fontId="54" fillId="32" borderId="0" xfId="0" applyNumberFormat="1" applyFont="1" applyFill="1" applyBorder="1" applyAlignment="1">
      <alignment/>
    </xf>
    <xf numFmtId="187" fontId="54" fillId="0" borderId="0" xfId="0" applyNumberFormat="1" applyFont="1" applyFill="1" applyAlignment="1">
      <alignment/>
    </xf>
    <xf numFmtId="3" fontId="3" fillId="32" borderId="0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3" fontId="26" fillId="0" borderId="11" xfId="0" applyNumberFormat="1" applyFont="1" applyFill="1" applyBorder="1" applyAlignment="1">
      <alignment vertical="center"/>
    </xf>
    <xf numFmtId="3" fontId="26" fillId="0" borderId="0" xfId="0" applyNumberFormat="1" applyFont="1" applyFill="1" applyBorder="1" applyAlignment="1">
      <alignment/>
    </xf>
    <xf numFmtId="187" fontId="1" fillId="0" borderId="15" xfId="0" applyNumberFormat="1" applyFont="1" applyFill="1" applyBorder="1" applyAlignment="1">
      <alignment horizontal="right"/>
    </xf>
    <xf numFmtId="187" fontId="1" fillId="0" borderId="15" xfId="0" applyNumberFormat="1" applyFont="1" applyFill="1" applyBorder="1" applyAlignment="1">
      <alignment/>
    </xf>
    <xf numFmtId="187" fontId="1" fillId="0" borderId="15" xfId="0" applyNumberFormat="1" applyFont="1" applyBorder="1" applyAlignment="1">
      <alignment/>
    </xf>
    <xf numFmtId="187" fontId="1" fillId="0" borderId="0" xfId="0" applyNumberFormat="1" applyFont="1" applyBorder="1" applyAlignment="1">
      <alignment/>
    </xf>
    <xf numFmtId="186" fontId="26" fillId="0" borderId="15" xfId="54" applyNumberFormat="1" applyFont="1" applyFill="1" applyBorder="1">
      <alignment/>
      <protection/>
    </xf>
    <xf numFmtId="186" fontId="1" fillId="0" borderId="15" xfId="0" applyNumberFormat="1" applyFont="1" applyFill="1" applyBorder="1" applyAlignment="1">
      <alignment/>
    </xf>
    <xf numFmtId="3" fontId="26" fillId="32" borderId="0" xfId="0" applyNumberFormat="1" applyFont="1" applyFill="1" applyBorder="1" applyAlignment="1">
      <alignment horizontal="right"/>
    </xf>
    <xf numFmtId="3" fontId="26" fillId="32" borderId="11" xfId="0" applyNumberFormat="1" applyFont="1" applyFill="1" applyBorder="1" applyAlignment="1">
      <alignment horizontal="right"/>
    </xf>
    <xf numFmtId="187" fontId="1" fillId="0" borderId="16" xfId="0" applyNumberFormat="1" applyFont="1" applyFill="1" applyBorder="1" applyAlignment="1">
      <alignment horizontal="right"/>
    </xf>
    <xf numFmtId="187" fontId="1" fillId="0" borderId="16" xfId="0" applyNumberFormat="1" applyFont="1" applyBorder="1" applyAlignment="1">
      <alignment horizontal="right"/>
    </xf>
    <xf numFmtId="3" fontId="26" fillId="0" borderId="14" xfId="0" applyNumberFormat="1" applyFont="1" applyFill="1" applyBorder="1" applyAlignment="1">
      <alignment horizontal="right" vertical="center"/>
    </xf>
    <xf numFmtId="3" fontId="26" fillId="0" borderId="13" xfId="0" applyNumberFormat="1" applyFont="1" applyFill="1" applyBorder="1" applyAlignment="1">
      <alignment horizontal="right"/>
    </xf>
    <xf numFmtId="186" fontId="26" fillId="0" borderId="16" xfId="54" applyNumberFormat="1" applyFont="1" applyFill="1" applyBorder="1" applyAlignment="1">
      <alignment horizontal="right"/>
      <protection/>
    </xf>
    <xf numFmtId="3" fontId="27" fillId="0" borderId="0" xfId="0" applyNumberFormat="1" applyFont="1" applyFill="1" applyBorder="1" applyAlignment="1">
      <alignment horizontal="center"/>
    </xf>
    <xf numFmtId="187" fontId="0" fillId="0" borderId="0" xfId="0" applyNumberFormat="1" applyFont="1" applyFill="1" applyBorder="1" applyAlignment="1">
      <alignment horizontal="right"/>
    </xf>
    <xf numFmtId="187" fontId="1" fillId="0" borderId="0" xfId="0" applyNumberFormat="1" applyFont="1" applyFill="1" applyBorder="1" applyAlignment="1">
      <alignment horizontal="right"/>
    </xf>
    <xf numFmtId="187" fontId="1" fillId="0" borderId="0" xfId="0" applyNumberFormat="1" applyFont="1" applyBorder="1" applyAlignment="1">
      <alignment horizontal="right"/>
    </xf>
    <xf numFmtId="3" fontId="26" fillId="0" borderId="0" xfId="0" applyNumberFormat="1" applyFont="1" applyFill="1" applyBorder="1" applyAlignment="1">
      <alignment horizontal="right" vertical="center"/>
    </xf>
    <xf numFmtId="3" fontId="26" fillId="0" borderId="0" xfId="0" applyNumberFormat="1" applyFont="1" applyFill="1" applyBorder="1" applyAlignment="1">
      <alignment horizontal="right"/>
    </xf>
    <xf numFmtId="186" fontId="26" fillId="0" borderId="0" xfId="54" applyNumberFormat="1" applyFont="1" applyFill="1" applyBorder="1" applyAlignment="1">
      <alignment horizontal="right"/>
      <protection/>
    </xf>
    <xf numFmtId="3" fontId="8" fillId="33" borderId="11" xfId="0" applyNumberFormat="1" applyFont="1" applyFill="1" applyBorder="1" applyAlignment="1">
      <alignment horizontal="right" vertical="center"/>
    </xf>
    <xf numFmtId="3" fontId="8" fillId="33" borderId="0" xfId="0" applyNumberFormat="1" applyFont="1" applyFill="1" applyBorder="1" applyAlignment="1">
      <alignment horizontal="right" vertical="center"/>
    </xf>
    <xf numFmtId="186" fontId="0" fillId="0" borderId="15" xfId="0" applyNumberFormat="1" applyFont="1" applyFill="1" applyBorder="1" applyAlignment="1">
      <alignment/>
    </xf>
    <xf numFmtId="3" fontId="27" fillId="33" borderId="0" xfId="0" applyNumberFormat="1" applyFont="1" applyFill="1" applyBorder="1" applyAlignment="1">
      <alignment/>
    </xf>
    <xf numFmtId="3" fontId="26" fillId="33" borderId="14" xfId="54" applyNumberFormat="1" applyFont="1" applyFill="1" applyBorder="1" applyAlignment="1">
      <alignment vertical="center" wrapText="1"/>
      <protection/>
    </xf>
    <xf numFmtId="3" fontId="8" fillId="33" borderId="14" xfId="0" applyNumberFormat="1" applyFont="1" applyFill="1" applyBorder="1" applyAlignment="1">
      <alignment horizontal="right" vertical="center"/>
    </xf>
    <xf numFmtId="3" fontId="8" fillId="33" borderId="13" xfId="0" applyNumberFormat="1" applyFont="1" applyFill="1" applyBorder="1" applyAlignment="1">
      <alignment horizontal="right" vertical="center"/>
    </xf>
    <xf numFmtId="187" fontId="8" fillId="33" borderId="16" xfId="0" applyNumberFormat="1" applyFont="1" applyFill="1" applyBorder="1" applyAlignment="1">
      <alignment horizontal="right"/>
    </xf>
    <xf numFmtId="3" fontId="27" fillId="33" borderId="14" xfId="54" applyNumberFormat="1" applyFont="1" applyFill="1" applyBorder="1">
      <alignment/>
      <protection/>
    </xf>
    <xf numFmtId="3" fontId="27" fillId="33" borderId="11" xfId="0" applyNumberFormat="1" applyFont="1" applyFill="1" applyBorder="1" applyAlignment="1">
      <alignment horizontal="center"/>
    </xf>
    <xf numFmtId="3" fontId="27" fillId="33" borderId="10" xfId="0" applyNumberFormat="1" applyFont="1" applyFill="1" applyBorder="1" applyAlignment="1">
      <alignment/>
    </xf>
    <xf numFmtId="3" fontId="53" fillId="33" borderId="11" xfId="0" applyNumberFormat="1" applyFont="1" applyFill="1" applyBorder="1" applyAlignment="1">
      <alignment horizontal="right" vertical="center"/>
    </xf>
    <xf numFmtId="187" fontId="53" fillId="33" borderId="0" xfId="0" applyNumberFormat="1" applyFont="1" applyFill="1" applyBorder="1" applyAlignment="1">
      <alignment horizontal="right"/>
    </xf>
    <xf numFmtId="187" fontId="53" fillId="33" borderId="15" xfId="0" applyNumberFormat="1" applyFont="1" applyFill="1" applyBorder="1" applyAlignment="1">
      <alignment horizontal="right"/>
    </xf>
    <xf numFmtId="187" fontId="8" fillId="33" borderId="15" xfId="0" applyNumberFormat="1" applyFont="1" applyFill="1" applyBorder="1" applyAlignment="1">
      <alignment/>
    </xf>
    <xf numFmtId="3" fontId="27" fillId="33" borderId="11" xfId="54" applyNumberFormat="1" applyFont="1" applyFill="1" applyBorder="1" applyAlignment="1">
      <alignment horizontal="right" vertical="center"/>
      <protection/>
    </xf>
    <xf numFmtId="187" fontId="8" fillId="33" borderId="0" xfId="0" applyNumberFormat="1" applyFont="1" applyFill="1" applyBorder="1" applyAlignment="1">
      <alignment/>
    </xf>
    <xf numFmtId="3" fontId="53" fillId="33" borderId="11" xfId="0" applyNumberFormat="1" applyFont="1" applyFill="1" applyBorder="1" applyAlignment="1">
      <alignment/>
    </xf>
    <xf numFmtId="186" fontId="53" fillId="33" borderId="15" xfId="0" applyNumberFormat="1" applyFont="1" applyFill="1" applyBorder="1" applyAlignment="1">
      <alignment/>
    </xf>
    <xf numFmtId="3" fontId="27" fillId="33" borderId="13" xfId="0" applyNumberFormat="1" applyFont="1" applyFill="1" applyBorder="1" applyAlignment="1">
      <alignment/>
    </xf>
    <xf numFmtId="186" fontId="27" fillId="33" borderId="16" xfId="54" applyNumberFormat="1" applyFont="1" applyFill="1" applyBorder="1">
      <alignment/>
      <protection/>
    </xf>
    <xf numFmtId="3" fontId="55" fillId="32" borderId="0" xfId="46" applyNumberFormat="1" applyFont="1" applyFill="1" applyBorder="1" applyAlignment="1" applyProtection="1">
      <alignment/>
      <protection/>
    </xf>
    <xf numFmtId="3" fontId="26" fillId="0" borderId="10" xfId="0" applyNumberFormat="1" applyFont="1" applyFill="1" applyBorder="1" applyAlignment="1">
      <alignment horizontal="center"/>
    </xf>
    <xf numFmtId="3" fontId="26" fillId="33" borderId="10" xfId="0" applyNumberFormat="1" applyFont="1" applyFill="1" applyBorder="1" applyAlignment="1">
      <alignment/>
    </xf>
    <xf numFmtId="3" fontId="26" fillId="33" borderId="10" xfId="0" applyNumberFormat="1" applyFont="1" applyFill="1" applyBorder="1" applyAlignment="1">
      <alignment horizontal="center"/>
    </xf>
    <xf numFmtId="3" fontId="1" fillId="33" borderId="11" xfId="0" applyNumberFormat="1" applyFont="1" applyFill="1" applyBorder="1" applyAlignment="1">
      <alignment horizontal="right" vertical="center"/>
    </xf>
    <xf numFmtId="3" fontId="1" fillId="33" borderId="0" xfId="0" applyNumberFormat="1" applyFont="1" applyFill="1" applyBorder="1" applyAlignment="1">
      <alignment horizontal="right" vertical="center"/>
    </xf>
    <xf numFmtId="187" fontId="0" fillId="33" borderId="0" xfId="0" applyNumberFormat="1" applyFont="1" applyFill="1" applyBorder="1" applyAlignment="1">
      <alignment horizontal="right"/>
    </xf>
    <xf numFmtId="187" fontId="0" fillId="33" borderId="15" xfId="0" applyNumberFormat="1" applyFont="1" applyFill="1" applyBorder="1" applyAlignment="1">
      <alignment horizontal="right"/>
    </xf>
    <xf numFmtId="187" fontId="1" fillId="33" borderId="15" xfId="0" applyNumberFormat="1" applyFont="1" applyFill="1" applyBorder="1" applyAlignment="1">
      <alignment horizontal="right"/>
    </xf>
    <xf numFmtId="187" fontId="1" fillId="33" borderId="15" xfId="0" applyNumberFormat="1" applyFont="1" applyFill="1" applyBorder="1" applyAlignment="1">
      <alignment/>
    </xf>
    <xf numFmtId="3" fontId="26" fillId="33" borderId="11" xfId="54" applyNumberFormat="1" applyFont="1" applyFill="1" applyBorder="1" applyAlignment="1">
      <alignment horizontal="right" vertical="center"/>
      <protection/>
    </xf>
    <xf numFmtId="3" fontId="0" fillId="33" borderId="11" xfId="0" applyNumberFormat="1" applyFont="1" applyFill="1" applyBorder="1" applyAlignment="1">
      <alignment horizontal="right" vertical="center"/>
    </xf>
    <xf numFmtId="187" fontId="1" fillId="33" borderId="0" xfId="0" applyNumberFormat="1" applyFont="1" applyFill="1" applyBorder="1" applyAlignment="1">
      <alignment/>
    </xf>
    <xf numFmtId="3" fontId="26" fillId="33" borderId="11" xfId="0" applyNumberFormat="1" applyFont="1" applyFill="1" applyBorder="1" applyAlignment="1">
      <alignment vertical="center"/>
    </xf>
    <xf numFmtId="3" fontId="26" fillId="33" borderId="0" xfId="0" applyNumberFormat="1" applyFont="1" applyFill="1" applyBorder="1" applyAlignment="1">
      <alignment/>
    </xf>
    <xf numFmtId="186" fontId="26" fillId="33" borderId="15" xfId="54" applyNumberFormat="1" applyFont="1" applyFill="1" applyBorder="1">
      <alignment/>
      <protection/>
    </xf>
    <xf numFmtId="187" fontId="0" fillId="33" borderId="11" xfId="0" applyNumberFormat="1" applyFont="1" applyFill="1" applyBorder="1" applyAlignment="1">
      <alignment horizontal="right"/>
    </xf>
    <xf numFmtId="186" fontId="0" fillId="33" borderId="15" xfId="0" applyNumberFormat="1" applyFont="1" applyFill="1" applyBorder="1" applyAlignment="1">
      <alignment horizontal="right"/>
    </xf>
    <xf numFmtId="187" fontId="1" fillId="33" borderId="0" xfId="0" applyNumberFormat="1" applyFont="1" applyFill="1" applyBorder="1" applyAlignment="1" applyProtection="1">
      <alignment horizontal="right"/>
      <protection locked="0"/>
    </xf>
    <xf numFmtId="187" fontId="1" fillId="33" borderId="15" xfId="0" applyNumberFormat="1" applyFont="1" applyFill="1" applyBorder="1" applyAlignment="1" applyProtection="1">
      <alignment horizontal="right"/>
      <protection locked="0"/>
    </xf>
    <xf numFmtId="3" fontId="1" fillId="33" borderId="11" xfId="0" applyNumberFormat="1" applyFont="1" applyFill="1" applyBorder="1" applyAlignment="1" applyProtection="1">
      <alignment horizontal="right" vertical="center"/>
      <protection locked="0"/>
    </xf>
    <xf numFmtId="3" fontId="0" fillId="33" borderId="11" xfId="0" applyNumberFormat="1" applyFont="1" applyFill="1" applyBorder="1" applyAlignment="1">
      <alignment/>
    </xf>
    <xf numFmtId="187" fontId="1" fillId="33" borderId="15" xfId="0" applyNumberFormat="1" applyFont="1" applyFill="1" applyBorder="1" applyAlignment="1">
      <alignment horizontal="right" vertical="center"/>
    </xf>
    <xf numFmtId="3" fontId="27" fillId="33" borderId="10" xfId="0" applyNumberFormat="1" applyFont="1" applyFill="1" applyBorder="1" applyAlignment="1">
      <alignment horizontal="center"/>
    </xf>
    <xf numFmtId="3" fontId="26" fillId="33" borderId="17" xfId="0" applyNumberFormat="1" applyFont="1" applyFill="1" applyBorder="1" applyAlignment="1">
      <alignment horizontal="right"/>
    </xf>
    <xf numFmtId="3" fontId="26" fillId="33" borderId="18" xfId="0" applyNumberFormat="1" applyFont="1" applyFill="1" applyBorder="1" applyAlignment="1">
      <alignment horizontal="right"/>
    </xf>
    <xf numFmtId="3" fontId="26" fillId="33" borderId="11" xfId="0" applyNumberFormat="1" applyFont="1" applyFill="1" applyBorder="1" applyAlignment="1">
      <alignment horizontal="right"/>
    </xf>
    <xf numFmtId="3" fontId="26" fillId="33" borderId="0" xfId="0" applyNumberFormat="1" applyFont="1" applyFill="1" applyBorder="1" applyAlignment="1">
      <alignment horizontal="right"/>
    </xf>
    <xf numFmtId="3" fontId="27" fillId="34" borderId="0" xfId="54" applyNumberFormat="1" applyFont="1" applyFill="1">
      <alignment/>
      <protection/>
    </xf>
    <xf numFmtId="3" fontId="0" fillId="34" borderId="0" xfId="0" applyNumberFormat="1" applyFont="1" applyFill="1" applyBorder="1" applyAlignment="1">
      <alignment/>
    </xf>
    <xf numFmtId="3" fontId="26" fillId="34" borderId="0" xfId="54" applyNumberFormat="1" applyFont="1" applyFill="1" applyAlignment="1">
      <alignment horizontal="right"/>
      <protection/>
    </xf>
    <xf numFmtId="3" fontId="26" fillId="34" borderId="0" xfId="54" applyNumberFormat="1" applyFont="1" applyFill="1">
      <alignment/>
      <protection/>
    </xf>
    <xf numFmtId="3" fontId="0" fillId="34" borderId="0" xfId="0" applyNumberFormat="1" applyFont="1" applyFill="1" applyAlignment="1">
      <alignment/>
    </xf>
    <xf numFmtId="3" fontId="0" fillId="34" borderId="0" xfId="0" applyNumberFormat="1" applyFont="1" applyFill="1" applyAlignment="1">
      <alignment horizontal="center" vertical="center"/>
    </xf>
    <xf numFmtId="3" fontId="39" fillId="35" borderId="14" xfId="54" applyNumberFormat="1" applyFont="1" applyFill="1" applyBorder="1" applyAlignment="1">
      <alignment vertical="center"/>
      <protection/>
    </xf>
    <xf numFmtId="3" fontId="39" fillId="35" borderId="11" xfId="54" applyNumberFormat="1" applyFont="1" applyFill="1" applyBorder="1" applyAlignment="1">
      <alignment vertical="center"/>
      <protection/>
    </xf>
    <xf numFmtId="3" fontId="39" fillId="35" borderId="13" xfId="54" applyNumberFormat="1" applyFont="1" applyFill="1" applyBorder="1" applyAlignment="1">
      <alignment vertical="center"/>
      <protection/>
    </xf>
    <xf numFmtId="3" fontId="0" fillId="0" borderId="0" xfId="0" applyNumberFormat="1" applyFont="1" applyFill="1" applyBorder="1" applyAlignment="1">
      <alignment/>
    </xf>
    <xf numFmtId="3" fontId="1" fillId="0" borderId="0" xfId="0" applyNumberFormat="1" applyFont="1" applyBorder="1" applyAlignment="1">
      <alignment/>
    </xf>
    <xf numFmtId="3" fontId="0" fillId="0" borderId="11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3" fontId="1" fillId="0" borderId="0" xfId="0" applyNumberFormat="1" applyFont="1" applyBorder="1" applyAlignment="1">
      <alignment horizontal="right"/>
    </xf>
    <xf numFmtId="3" fontId="26" fillId="32" borderId="11" xfId="0" applyNumberFormat="1" applyFont="1" applyFill="1" applyBorder="1" applyAlignment="1" applyProtection="1">
      <alignment horizontal="right"/>
      <protection/>
    </xf>
    <xf numFmtId="3" fontId="0" fillId="0" borderId="15" xfId="0" applyNumberFormat="1" applyFont="1" applyBorder="1" applyAlignment="1">
      <alignment horizontal="right"/>
    </xf>
    <xf numFmtId="3" fontId="0" fillId="0" borderId="15" xfId="0" applyNumberFormat="1" applyFont="1" applyFill="1" applyBorder="1" applyAlignment="1">
      <alignment horizontal="right"/>
    </xf>
    <xf numFmtId="3" fontId="1" fillId="0" borderId="15" xfId="0" applyNumberFormat="1" applyFont="1" applyBorder="1" applyAlignment="1">
      <alignment horizontal="right"/>
    </xf>
    <xf numFmtId="3" fontId="26" fillId="33" borderId="17" xfId="0" applyNumberFormat="1" applyFont="1" applyFill="1" applyBorder="1" applyAlignment="1" applyProtection="1">
      <alignment horizontal="right"/>
      <protection/>
    </xf>
    <xf numFmtId="3" fontId="26" fillId="33" borderId="19" xfId="54" applyNumberFormat="1" applyFont="1" applyFill="1" applyBorder="1" applyAlignment="1">
      <alignment horizontal="right"/>
      <protection/>
    </xf>
    <xf numFmtId="3" fontId="26" fillId="33" borderId="18" xfId="54" applyNumberFormat="1" applyFont="1" applyFill="1" applyBorder="1" applyAlignment="1">
      <alignment horizontal="right"/>
      <protection/>
    </xf>
    <xf numFmtId="3" fontId="26" fillId="33" borderId="11" xfId="0" applyNumberFormat="1" applyFont="1" applyFill="1" applyBorder="1" applyAlignment="1" applyProtection="1">
      <alignment horizontal="right"/>
      <protection/>
    </xf>
    <xf numFmtId="3" fontId="0" fillId="33" borderId="0" xfId="0" applyNumberFormat="1" applyFont="1" applyFill="1" applyBorder="1" applyAlignment="1">
      <alignment/>
    </xf>
    <xf numFmtId="3" fontId="0" fillId="33" borderId="15" xfId="0" applyNumberFormat="1" applyFont="1" applyFill="1" applyBorder="1" applyAlignment="1">
      <alignment horizontal="right"/>
    </xf>
    <xf numFmtId="3" fontId="0" fillId="33" borderId="0" xfId="0" applyNumberFormat="1" applyFont="1" applyFill="1" applyBorder="1" applyAlignment="1">
      <alignment horizontal="right"/>
    </xf>
    <xf numFmtId="3" fontId="1" fillId="33" borderId="15" xfId="0" applyNumberFormat="1" applyFont="1" applyFill="1" applyBorder="1" applyAlignment="1">
      <alignment horizontal="right"/>
    </xf>
    <xf numFmtId="3" fontId="1" fillId="33" borderId="0" xfId="0" applyNumberFormat="1" applyFont="1" applyFill="1" applyBorder="1" applyAlignment="1">
      <alignment horizontal="right"/>
    </xf>
    <xf numFmtId="3" fontId="0" fillId="33" borderId="11" xfId="0" applyNumberFormat="1" applyFont="1" applyFill="1" applyBorder="1" applyAlignment="1">
      <alignment horizontal="right"/>
    </xf>
    <xf numFmtId="3" fontId="1" fillId="33" borderId="11" xfId="0" applyNumberFormat="1" applyFont="1" applyFill="1" applyBorder="1" applyAlignment="1">
      <alignment horizontal="right"/>
    </xf>
    <xf numFmtId="3" fontId="1" fillId="33" borderId="0" xfId="0" applyNumberFormat="1" applyFont="1" applyFill="1" applyBorder="1" applyAlignment="1">
      <alignment/>
    </xf>
    <xf numFmtId="3" fontId="53" fillId="33" borderId="11" xfId="0" applyNumberFormat="1" applyFont="1" applyFill="1" applyBorder="1" applyAlignment="1">
      <alignment horizontal="right"/>
    </xf>
    <xf numFmtId="3" fontId="53" fillId="33" borderId="0" xfId="0" applyNumberFormat="1" applyFont="1" applyFill="1" applyBorder="1" applyAlignment="1">
      <alignment/>
    </xf>
    <xf numFmtId="187" fontId="8" fillId="33" borderId="0" xfId="0" applyNumberFormat="1" applyFont="1" applyFill="1" applyBorder="1" applyAlignment="1">
      <alignment horizontal="right"/>
    </xf>
    <xf numFmtId="3" fontId="53" fillId="33" borderId="0" xfId="0" applyNumberFormat="1" applyFont="1" applyFill="1" applyBorder="1" applyAlignment="1">
      <alignment horizontal="right"/>
    </xf>
    <xf numFmtId="195" fontId="27" fillId="33" borderId="0" xfId="0" applyNumberFormat="1" applyFont="1" applyFill="1" applyBorder="1" applyAlignment="1">
      <alignment horizontal="right" vertical="center"/>
    </xf>
    <xf numFmtId="3" fontId="39" fillId="35" borderId="0" xfId="54" applyNumberFormat="1" applyFont="1" applyFill="1" applyBorder="1" applyAlignment="1">
      <alignment horizontal="center" vertical="center" wrapText="1"/>
      <protection/>
    </xf>
    <xf numFmtId="3" fontId="39" fillId="35" borderId="15" xfId="54" applyNumberFormat="1" applyFont="1" applyFill="1" applyBorder="1" applyAlignment="1">
      <alignment horizontal="center" vertical="center" wrapText="1"/>
      <protection/>
    </xf>
    <xf numFmtId="3" fontId="39" fillId="35" borderId="13" xfId="54" applyNumberFormat="1" applyFont="1" applyFill="1" applyBorder="1" applyAlignment="1">
      <alignment horizontal="center" vertical="center" wrapText="1"/>
      <protection/>
    </xf>
    <xf numFmtId="3" fontId="39" fillId="35" borderId="16" xfId="54" applyNumberFormat="1" applyFont="1" applyFill="1" applyBorder="1" applyAlignment="1">
      <alignment horizontal="center" vertical="center" wrapText="1"/>
      <protection/>
    </xf>
    <xf numFmtId="1" fontId="27" fillId="0" borderId="0" xfId="54" applyNumberFormat="1" applyFont="1" applyFill="1">
      <alignment/>
      <protection/>
    </xf>
    <xf numFmtId="1" fontId="0" fillId="0" borderId="0" xfId="0" applyNumberFormat="1" applyFont="1" applyBorder="1" applyAlignment="1">
      <alignment/>
    </xf>
    <xf numFmtId="1" fontId="0" fillId="0" borderId="0" xfId="0" applyNumberFormat="1" applyFont="1" applyAlignment="1">
      <alignment/>
    </xf>
    <xf numFmtId="0" fontId="56" fillId="0" borderId="0" xfId="0" applyFont="1" applyAlignment="1">
      <alignment horizontal="center" vertical="center" readingOrder="1"/>
    </xf>
    <xf numFmtId="3" fontId="26" fillId="33" borderId="15" xfId="54" applyNumberFormat="1" applyFont="1" applyFill="1" applyBorder="1" applyAlignment="1">
      <alignment horizontal="right"/>
      <protection/>
    </xf>
    <xf numFmtId="3" fontId="0" fillId="0" borderId="19" xfId="0" applyNumberFormat="1" applyFont="1" applyFill="1" applyBorder="1" applyAlignment="1">
      <alignment horizontal="right"/>
    </xf>
    <xf numFmtId="1" fontId="36" fillId="0" borderId="0" xfId="54" applyNumberFormat="1" applyFont="1" applyFill="1" applyAlignment="1">
      <alignment horizontal="right"/>
      <protection/>
    </xf>
    <xf numFmtId="1" fontId="36" fillId="0" borderId="0" xfId="54" applyNumberFormat="1" applyFont="1" applyFill="1">
      <alignment/>
      <protection/>
    </xf>
    <xf numFmtId="1" fontId="36" fillId="0" borderId="0" xfId="0" applyNumberFormat="1" applyFont="1" applyAlignment="1">
      <alignment/>
    </xf>
    <xf numFmtId="1" fontId="36" fillId="0" borderId="0" xfId="0" applyNumberFormat="1" applyFont="1" applyAlignment="1">
      <alignment horizontal="center" vertical="center"/>
    </xf>
    <xf numFmtId="195" fontId="27" fillId="33" borderId="15" xfId="0" applyNumberFormat="1" applyFont="1" applyFill="1" applyBorder="1" applyAlignment="1">
      <alignment horizontal="right" vertical="center"/>
    </xf>
    <xf numFmtId="3" fontId="1" fillId="0" borderId="14" xfId="0" applyNumberFormat="1" applyFont="1" applyFill="1" applyBorder="1" applyAlignment="1">
      <alignment horizontal="right" vertical="center"/>
    </xf>
    <xf numFmtId="3" fontId="0" fillId="0" borderId="11" xfId="0" applyNumberFormat="1" applyFont="1" applyBorder="1" applyAlignment="1">
      <alignment/>
    </xf>
    <xf numFmtId="3" fontId="1" fillId="33" borderId="11" xfId="0" applyNumberFormat="1" applyFont="1" applyFill="1" applyBorder="1" applyAlignment="1">
      <alignment/>
    </xf>
    <xf numFmtId="3" fontId="1" fillId="0" borderId="11" xfId="0" applyNumberFormat="1" applyFont="1" applyBorder="1" applyAlignment="1">
      <alignment/>
    </xf>
    <xf numFmtId="3" fontId="0" fillId="33" borderId="17" xfId="0" applyNumberFormat="1" applyFont="1" applyFill="1" applyBorder="1" applyAlignment="1">
      <alignment horizontal="right"/>
    </xf>
    <xf numFmtId="3" fontId="1" fillId="36" borderId="13" xfId="0" applyNumberFormat="1" applyFont="1" applyFill="1" applyBorder="1" applyAlignment="1">
      <alignment/>
    </xf>
    <xf numFmtId="187" fontId="26" fillId="32" borderId="15" xfId="0" applyNumberFormat="1" applyFont="1" applyFill="1" applyBorder="1" applyAlignment="1">
      <alignment horizontal="right"/>
    </xf>
    <xf numFmtId="187" fontId="26" fillId="33" borderId="15" xfId="0" applyNumberFormat="1" applyFont="1" applyFill="1" applyBorder="1" applyAlignment="1">
      <alignment horizontal="right"/>
    </xf>
    <xf numFmtId="187" fontId="26" fillId="33" borderId="19" xfId="0" applyNumberFormat="1" applyFont="1" applyFill="1" applyBorder="1" applyAlignment="1">
      <alignment horizontal="right"/>
    </xf>
    <xf numFmtId="3" fontId="39" fillId="35" borderId="20" xfId="54" applyNumberFormat="1" applyFont="1" applyFill="1" applyBorder="1" applyAlignment="1">
      <alignment/>
      <protection/>
    </xf>
    <xf numFmtId="3" fontId="39" fillId="35" borderId="21" xfId="54" applyNumberFormat="1" applyFont="1" applyFill="1" applyBorder="1" applyAlignment="1">
      <alignment/>
      <protection/>
    </xf>
    <xf numFmtId="187" fontId="26" fillId="0" borderId="16" xfId="54" applyNumberFormat="1" applyFont="1" applyFill="1" applyBorder="1" applyAlignment="1">
      <alignment horizontal="right"/>
      <protection/>
    </xf>
    <xf numFmtId="187" fontId="26" fillId="33" borderId="18" xfId="0" applyNumberFormat="1" applyFont="1" applyFill="1" applyBorder="1" applyAlignment="1">
      <alignment horizontal="right"/>
    </xf>
    <xf numFmtId="187" fontId="26" fillId="32" borderId="0" xfId="0" applyNumberFormat="1" applyFont="1" applyFill="1" applyBorder="1" applyAlignment="1">
      <alignment horizontal="right"/>
    </xf>
    <xf numFmtId="187" fontId="26" fillId="33" borderId="0" xfId="0" applyNumberFormat="1" applyFont="1" applyFill="1" applyBorder="1" applyAlignment="1">
      <alignment horizontal="right"/>
    </xf>
    <xf numFmtId="3" fontId="27" fillId="36" borderId="12" xfId="0" applyNumberFormat="1" applyFont="1" applyFill="1" applyBorder="1" applyAlignment="1">
      <alignment/>
    </xf>
    <xf numFmtId="3" fontId="53" fillId="36" borderId="14" xfId="0" applyNumberFormat="1" applyFont="1" applyFill="1" applyBorder="1" applyAlignment="1">
      <alignment horizontal="right"/>
    </xf>
    <xf numFmtId="3" fontId="53" fillId="36" borderId="13" xfId="0" applyNumberFormat="1" applyFont="1" applyFill="1" applyBorder="1" applyAlignment="1">
      <alignment horizontal="right"/>
    </xf>
    <xf numFmtId="3" fontId="53" fillId="36" borderId="16" xfId="0" applyNumberFormat="1" applyFont="1" applyFill="1" applyBorder="1" applyAlignment="1">
      <alignment/>
    </xf>
    <xf numFmtId="3" fontId="53" fillId="36" borderId="13" xfId="0" applyNumberFormat="1" applyFont="1" applyFill="1" applyBorder="1" applyAlignment="1">
      <alignment/>
    </xf>
    <xf numFmtId="3" fontId="53" fillId="36" borderId="14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31" fillId="0" borderId="0" xfId="54" applyNumberFormat="1" applyFont="1" applyFill="1" applyAlignment="1">
      <alignment/>
      <protection/>
    </xf>
    <xf numFmtId="3" fontId="32" fillId="0" borderId="0" xfId="54" applyNumberFormat="1" applyFont="1" applyFill="1" applyAlignment="1">
      <alignment/>
      <protection/>
    </xf>
    <xf numFmtId="3" fontId="0" fillId="33" borderId="11" xfId="0" applyNumberFormat="1" applyFill="1" applyBorder="1" applyAlignment="1">
      <alignment/>
    </xf>
    <xf numFmtId="3" fontId="0" fillId="0" borderId="11" xfId="0" applyNumberFormat="1" applyBorder="1" applyAlignment="1">
      <alignment/>
    </xf>
    <xf numFmtId="3" fontId="0" fillId="34" borderId="0" xfId="0" applyNumberFormat="1" applyFont="1" applyFill="1" applyAlignment="1">
      <alignment vertical="center"/>
    </xf>
    <xf numFmtId="1" fontId="39" fillId="35" borderId="18" xfId="54" applyNumberFormat="1" applyFont="1" applyFill="1" applyBorder="1" applyAlignment="1">
      <alignment horizontal="center" vertical="center"/>
      <protection/>
    </xf>
    <xf numFmtId="1" fontId="39" fillId="35" borderId="19" xfId="54" applyNumberFormat="1" applyFont="1" applyFill="1" applyBorder="1" applyAlignment="1">
      <alignment horizontal="center" vertical="center"/>
      <protection/>
    </xf>
    <xf numFmtId="3" fontId="39" fillId="35" borderId="14" xfId="54" applyNumberFormat="1" applyFont="1" applyFill="1" applyBorder="1" applyAlignment="1">
      <alignment horizontal="center"/>
      <protection/>
    </xf>
    <xf numFmtId="3" fontId="39" fillId="35" borderId="13" xfId="54" applyNumberFormat="1" applyFont="1" applyFill="1" applyBorder="1" applyAlignment="1">
      <alignment horizontal="center"/>
      <protection/>
    </xf>
    <xf numFmtId="1" fontId="39" fillId="35" borderId="17" xfId="54" applyNumberFormat="1" applyFont="1" applyFill="1" applyBorder="1" applyAlignment="1">
      <alignment horizontal="center" vertical="center"/>
      <protection/>
    </xf>
    <xf numFmtId="3" fontId="39" fillId="35" borderId="22" xfId="54" applyNumberFormat="1" applyFont="1" applyFill="1" applyBorder="1" applyAlignment="1">
      <alignment horizontal="center" vertical="center" wrapText="1"/>
      <protection/>
    </xf>
    <xf numFmtId="3" fontId="39" fillId="35" borderId="10" xfId="54" applyNumberFormat="1" applyFont="1" applyFill="1" applyBorder="1" applyAlignment="1">
      <alignment horizontal="center" vertical="center" wrapText="1"/>
      <protection/>
    </xf>
    <xf numFmtId="3" fontId="39" fillId="35" borderId="12" xfId="54" applyNumberFormat="1" applyFont="1" applyFill="1" applyBorder="1" applyAlignment="1">
      <alignment horizontal="center" vertical="center" wrapText="1"/>
      <protection/>
    </xf>
    <xf numFmtId="3" fontId="31" fillId="0" borderId="0" xfId="54" applyNumberFormat="1" applyFont="1" applyFill="1" applyAlignment="1">
      <alignment horizontal="center"/>
      <protection/>
    </xf>
    <xf numFmtId="3" fontId="57" fillId="0" borderId="0" xfId="0" applyNumberFormat="1" applyFont="1" applyBorder="1" applyAlignment="1">
      <alignment horizontal="center"/>
    </xf>
    <xf numFmtId="1" fontId="39" fillId="35" borderId="17" xfId="54" applyNumberFormat="1" applyFont="1" applyFill="1" applyBorder="1" applyAlignment="1">
      <alignment horizontal="center"/>
      <protection/>
    </xf>
    <xf numFmtId="1" fontId="39" fillId="35" borderId="18" xfId="54" applyNumberFormat="1" applyFont="1" applyFill="1" applyBorder="1" applyAlignment="1">
      <alignment horizontal="center"/>
      <protection/>
    </xf>
    <xf numFmtId="1" fontId="39" fillId="35" borderId="19" xfId="54" applyNumberFormat="1" applyFont="1" applyFill="1" applyBorder="1" applyAlignment="1">
      <alignment horizontal="center"/>
      <protection/>
    </xf>
    <xf numFmtId="3" fontId="39" fillId="35" borderId="22" xfId="54" applyNumberFormat="1" applyFont="1" applyFill="1" applyBorder="1" applyAlignment="1">
      <alignment horizontal="center" vertical="center"/>
      <protection/>
    </xf>
    <xf numFmtId="3" fontId="39" fillId="35" borderId="10" xfId="54" applyNumberFormat="1" applyFont="1" applyFill="1" applyBorder="1" applyAlignment="1">
      <alignment horizontal="center" vertical="center"/>
      <protection/>
    </xf>
    <xf numFmtId="3" fontId="39" fillId="35" borderId="12" xfId="54" applyNumberFormat="1" applyFont="1" applyFill="1" applyBorder="1" applyAlignment="1">
      <alignment horizontal="center" vertical="center"/>
      <protection/>
    </xf>
    <xf numFmtId="3" fontId="6" fillId="0" borderId="0" xfId="54" applyNumberFormat="1" applyFont="1" applyFill="1" applyAlignment="1">
      <alignment horizontal="left" vertical="center" wrapText="1"/>
      <protection/>
    </xf>
    <xf numFmtId="0" fontId="54" fillId="0" borderId="0" xfId="0" applyFont="1" applyAlignment="1">
      <alignment wrapText="1"/>
    </xf>
    <xf numFmtId="3" fontId="32" fillId="0" borderId="0" xfId="54" applyNumberFormat="1" applyFont="1" applyFill="1" applyAlignment="1">
      <alignment horizont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Publicacion moni-99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Evolución camas cada 10 mil habitantes. Total 24 partidos del Conurbano. 2003-2020</a:t>
            </a:r>
          </a:p>
        </c:rich>
      </c:tx>
      <c:layout>
        <c:manualLayout>
          <c:xMode val="factor"/>
          <c:yMode val="factor"/>
          <c:x val="0.0035"/>
          <c:y val="-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75"/>
          <c:y val="0.0915"/>
          <c:w val="0.98125"/>
          <c:h val="0.9165"/>
        </c:manualLayout>
      </c:layout>
      <c:lineChart>
        <c:grouping val="standard"/>
        <c:varyColors val="0"/>
        <c:ser>
          <c:idx val="0"/>
          <c:order val="0"/>
          <c:tx>
            <c:strRef>
              <c:f>1!$B$33</c:f>
              <c:strCache>
                <c:ptCount val="1"/>
                <c:pt idx="0">
                  <c:v>Total 24 partidos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#,##0.0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8"/>
              <c:pt idx="0">
                <c:v>2003</c:v>
              </c:pt>
              <c:pt idx="1">
                <c:v>2004</c:v>
              </c:pt>
              <c:pt idx="2">
                <c:v>2005</c:v>
              </c:pt>
              <c:pt idx="3">
                <c:v>2006</c:v>
              </c:pt>
              <c:pt idx="4">
                <c:v>2007</c:v>
              </c:pt>
              <c:pt idx="5">
                <c:v>2008</c:v>
              </c:pt>
              <c:pt idx="6">
                <c:v>2009</c:v>
              </c:pt>
              <c:pt idx="7">
                <c:v>2010</c:v>
              </c:pt>
              <c:pt idx="8">
                <c:v>2011</c:v>
              </c:pt>
              <c:pt idx="9">
                <c:v>2012</c:v>
              </c:pt>
              <c:pt idx="10">
                <c:v>2013</c:v>
              </c:pt>
              <c:pt idx="11">
                <c:v>2014</c:v>
              </c:pt>
              <c:pt idx="12">
                <c:v>2015</c:v>
              </c:pt>
              <c:pt idx="13">
                <c:v>2016</c:v>
              </c:pt>
              <c:pt idx="14">
                <c:v>2017</c:v>
              </c:pt>
              <c:pt idx="15">
                <c:v>2018</c:v>
              </c:pt>
              <c:pt idx="16">
                <c:v>2019</c:v>
              </c:pt>
              <c:pt idx="17">
                <c:v>2020</c:v>
              </c:pt>
            </c:numLit>
          </c:cat>
          <c:val>
            <c:numRef>
              <c:f>(1!$AS$33,1!$AV$33,1!$AY$33,1!$BB$33,1!$BE$33,1!$AP$33,1!$AM$33,1!$AJ$33,1!$AG$33,1!$AD$33,1!$AA$33,1!$X$33,1!$U$33,1!$R$33,1!$O$33,1!$L$33,1!$I$33,1!$F$33)</c:f>
              <c:numCache/>
            </c:numRef>
          </c:val>
          <c:smooth val="0"/>
        </c:ser>
        <c:marker val="1"/>
        <c:axId val="48610860"/>
        <c:axId val="34844557"/>
      </c:lineChart>
      <c:catAx>
        <c:axId val="4861086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198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4844557"/>
        <c:crosses val="autoZero"/>
        <c:auto val="0"/>
        <c:lblOffset val="100"/>
        <c:tickLblSkip val="1"/>
        <c:noMultiLvlLbl val="0"/>
      </c:catAx>
      <c:valAx>
        <c:axId val="34844557"/>
        <c:scaling>
          <c:orientation val="minMax"/>
          <c:min val="8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861086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Camas cada 10 mil habitantes. 24 partidos del Conurbano. 2020</a:t>
            </a:r>
          </a:p>
        </c:rich>
      </c:tx>
      <c:layout>
        <c:manualLayout>
          <c:xMode val="factor"/>
          <c:yMode val="factor"/>
          <c:x val="-0.001"/>
          <c:y val="-0.01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125"/>
          <c:y val="0.0745"/>
          <c:w val="0.91525"/>
          <c:h val="0.87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1!$BE$8</c:f>
              <c:strCache>
                <c:ptCount val="1"/>
                <c:pt idx="0">
                  <c:v>Camas cada 10.000 habitantes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CDAEC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BFD1E7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B0C7E2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A3BDDD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95B3D7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88A9D2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799FCD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6B95C7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5E8BC2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4478B6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3F6EA7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396499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345C8C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2F527D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2A4A70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254061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203854"/>
              </a:solidFill>
              <a:ln w="3175">
                <a:noFill/>
              </a:ln>
            </c:spPr>
          </c:dPt>
          <c:dPt>
            <c:idx val="18"/>
            <c:invertIfNegative val="0"/>
            <c:spPr>
              <a:solidFill>
                <a:srgbClr val="1A2E46"/>
              </a:solidFill>
              <a:ln w="3175">
                <a:noFill/>
              </a:ln>
            </c:spPr>
          </c:dPt>
          <c:dPt>
            <c:idx val="19"/>
            <c:invertIfNegative val="0"/>
            <c:spPr>
              <a:solidFill>
                <a:srgbClr val="152437"/>
              </a:solidFill>
              <a:ln w="3175">
                <a:noFill/>
              </a:ln>
            </c:spPr>
          </c:dPt>
          <c:dPt>
            <c:idx val="20"/>
            <c:invertIfNegative val="0"/>
            <c:spPr>
              <a:solidFill>
                <a:srgbClr val="0A121C"/>
              </a:solidFill>
              <a:ln w="3175">
                <a:noFill/>
              </a:ln>
            </c:spPr>
          </c:dPt>
          <c:dPt>
            <c:idx val="21"/>
            <c:invertIfNegative val="0"/>
            <c:spPr>
              <a:solidFill>
                <a:srgbClr val="050A0F"/>
              </a:solidFill>
              <a:ln w="3175">
                <a:noFill/>
              </a:ln>
            </c:spPr>
          </c:dPt>
          <c:dPt>
            <c:idx val="22"/>
            <c:invertIfNegative val="0"/>
            <c:spPr>
              <a:solidFill>
                <a:srgbClr val="000000"/>
              </a:solidFill>
              <a:ln w="3175">
                <a:noFill/>
              </a:ln>
            </c:spPr>
          </c:dPt>
          <c:dLbls>
            <c:numFmt formatCode="#,##0.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1!$B$9:$B$34</c:f>
              <c:strCache/>
            </c:strRef>
          </c:cat>
          <c:val>
            <c:numRef>
              <c:f>1!$BE$9:$BE$34</c:f>
              <c:numCache/>
            </c:numRef>
          </c:val>
        </c:ser>
        <c:gapWidth val="182"/>
        <c:axId val="45165558"/>
        <c:axId val="3836839"/>
      </c:barChart>
      <c:catAx>
        <c:axId val="4516555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836839"/>
        <c:crosses val="autoZero"/>
        <c:auto val="1"/>
        <c:lblOffset val="100"/>
        <c:tickLblSkip val="1"/>
        <c:noMultiLvlLbl val="0"/>
      </c:catAx>
      <c:valAx>
        <c:axId val="3836839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516555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123825</xdr:colOff>
      <xdr:row>46</xdr:row>
      <xdr:rowOff>85725</xdr:rowOff>
    </xdr:from>
    <xdr:to>
      <xdr:col>10</xdr:col>
      <xdr:colOff>342900</xdr:colOff>
      <xdr:row>64</xdr:row>
      <xdr:rowOff>38100</xdr:rowOff>
    </xdr:to>
    <xdr:graphicFrame>
      <xdr:nvGraphicFramePr>
        <xdr:cNvPr id="1" name="Gráfico 1"/>
        <xdr:cNvGraphicFramePr/>
      </xdr:nvGraphicFramePr>
      <xdr:xfrm>
        <a:off x="2800350" y="9029700"/>
        <a:ext cx="655320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781050</xdr:colOff>
      <xdr:row>46</xdr:row>
      <xdr:rowOff>142875</xdr:rowOff>
    </xdr:from>
    <xdr:to>
      <xdr:col>20</xdr:col>
      <xdr:colOff>323850</xdr:colOff>
      <xdr:row>77</xdr:row>
      <xdr:rowOff>419100</xdr:rowOff>
    </xdr:to>
    <xdr:graphicFrame>
      <xdr:nvGraphicFramePr>
        <xdr:cNvPr id="2" name="Gráfico 12"/>
        <xdr:cNvGraphicFramePr/>
      </xdr:nvGraphicFramePr>
      <xdr:xfrm>
        <a:off x="12163425" y="9086850"/>
        <a:ext cx="5114925" cy="5905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Personalizado 1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3185C9"/>
      </a:accent1>
      <a:accent2>
        <a:srgbClr val="C97531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indec.gov.ar/nuevaweb/cuadros/2/estimaciones-serie34.pdf" TargetMode="External" /><Relationship Id="rId2" Type="http://schemas.openxmlformats.org/officeDocument/2006/relationships/hyperlink" Target="https://www.indec.gob.ar/bajarCuadroEstadistico.asp?idc=49EDEB0DE91FA992D73D7D1520B774813400458ED8029A293169A3AEE08A74142C8640B7AC254DC0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H83"/>
  <sheetViews>
    <sheetView showGridLines="0" tabSelected="1" zoomScalePageLayoutView="0" workbookViewId="0" topLeftCell="A1">
      <selection activeCell="B4" sqref="B4"/>
    </sheetView>
  </sheetViews>
  <sheetFormatPr defaultColWidth="11.421875" defaultRowHeight="15"/>
  <cols>
    <col min="1" max="1" width="11.421875" style="3" customWidth="1"/>
    <col min="2" max="2" width="28.7109375" style="2" customWidth="1"/>
    <col min="3" max="3" width="12.28125" style="2" customWidth="1"/>
    <col min="4" max="4" width="11.57421875" style="3" bestFit="1" customWidth="1"/>
    <col min="5" max="5" width="12.421875" style="3" bestFit="1" customWidth="1"/>
    <col min="6" max="7" width="11.57421875" style="3" bestFit="1" customWidth="1"/>
    <col min="8" max="8" width="12.421875" style="3" bestFit="1" customWidth="1"/>
    <col min="9" max="10" width="11.57421875" style="3" bestFit="1" customWidth="1"/>
    <col min="11" max="11" width="12.421875" style="3" bestFit="1" customWidth="1"/>
    <col min="12" max="13" width="11.57421875" style="3" bestFit="1" customWidth="1"/>
    <col min="14" max="14" width="12.421875" style="3" bestFit="1" customWidth="1"/>
    <col min="15" max="16" width="11.57421875" style="3" bestFit="1" customWidth="1"/>
    <col min="17" max="17" width="12.421875" style="3" bestFit="1" customWidth="1"/>
    <col min="18" max="19" width="11.57421875" style="3" bestFit="1" customWidth="1"/>
    <col min="20" max="20" width="12.421875" style="3" bestFit="1" customWidth="1"/>
    <col min="21" max="22" width="11.57421875" style="3" bestFit="1" customWidth="1"/>
    <col min="23" max="23" width="12.421875" style="3" bestFit="1" customWidth="1"/>
    <col min="24" max="25" width="11.57421875" style="3" bestFit="1" customWidth="1"/>
    <col min="26" max="26" width="12.421875" style="3" bestFit="1" customWidth="1"/>
    <col min="27" max="28" width="11.57421875" style="3" bestFit="1" customWidth="1"/>
    <col min="29" max="29" width="12.421875" style="3" bestFit="1" customWidth="1"/>
    <col min="30" max="31" width="11.57421875" style="3" bestFit="1" customWidth="1"/>
    <col min="32" max="32" width="12.421875" style="3" bestFit="1" customWidth="1"/>
    <col min="33" max="34" width="11.57421875" style="3" bestFit="1" customWidth="1"/>
    <col min="35" max="35" width="12.421875" style="3" bestFit="1" customWidth="1"/>
    <col min="36" max="36" width="11.57421875" style="3" bestFit="1" customWidth="1"/>
    <col min="37" max="37" width="11.57421875" style="4" bestFit="1" customWidth="1"/>
    <col min="38" max="38" width="12.421875" style="4" bestFit="1" customWidth="1"/>
    <col min="39" max="39" width="11.57421875" style="4" bestFit="1" customWidth="1"/>
    <col min="40" max="40" width="11.7109375" style="3" bestFit="1" customWidth="1"/>
    <col min="41" max="41" width="12.57421875" style="3" bestFit="1" customWidth="1"/>
    <col min="42" max="42" width="11.7109375" style="3" bestFit="1" customWidth="1"/>
    <col min="43" max="43" width="11.140625" style="3" customWidth="1"/>
    <col min="44" max="52" width="11.421875" style="3" customWidth="1"/>
    <col min="53" max="53" width="11.7109375" style="3" bestFit="1" customWidth="1"/>
    <col min="54" max="54" width="11.8515625" style="3" bestFit="1" customWidth="1"/>
    <col min="55" max="16384" width="11.421875" style="3" customWidth="1"/>
  </cols>
  <sheetData>
    <row r="2" spans="2:57" ht="18">
      <c r="B2" s="203" t="s">
        <v>43</v>
      </c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190"/>
      <c r="R2" s="190"/>
      <c r="S2" s="190"/>
      <c r="T2" s="190"/>
      <c r="U2" s="190"/>
      <c r="V2" s="190"/>
      <c r="W2" s="190"/>
      <c r="X2" s="190"/>
      <c r="Y2" s="190"/>
      <c r="Z2" s="190"/>
      <c r="AA2" s="190"/>
      <c r="AB2" s="190"/>
      <c r="AC2" s="190"/>
      <c r="AD2" s="190"/>
      <c r="AE2" s="190"/>
      <c r="AF2" s="190"/>
      <c r="AG2" s="190"/>
      <c r="AH2" s="190"/>
      <c r="AI2" s="190"/>
      <c r="AJ2" s="190"/>
      <c r="AK2" s="190"/>
      <c r="AL2" s="190"/>
      <c r="AM2" s="190"/>
      <c r="AN2" s="190"/>
      <c r="AO2" s="190"/>
      <c r="AP2" s="190"/>
      <c r="AQ2" s="190"/>
      <c r="AR2" s="190"/>
      <c r="AS2" s="190"/>
      <c r="AT2" s="190"/>
      <c r="AU2" s="190"/>
      <c r="AV2" s="190"/>
      <c r="AW2" s="190"/>
      <c r="AX2" s="190"/>
      <c r="AY2" s="190"/>
      <c r="AZ2" s="190"/>
      <c r="BA2" s="190"/>
      <c r="BB2" s="190"/>
      <c r="BC2" s="190"/>
      <c r="BD2" s="190"/>
      <c r="BE2" s="190"/>
    </row>
    <row r="3" spans="2:57" ht="15.75">
      <c r="B3" s="213" t="s">
        <v>77</v>
      </c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191"/>
      <c r="R3" s="191"/>
      <c r="S3" s="191"/>
      <c r="T3" s="191"/>
      <c r="U3" s="191"/>
      <c r="V3" s="191"/>
      <c r="W3" s="191"/>
      <c r="X3" s="191"/>
      <c r="Y3" s="191"/>
      <c r="Z3" s="191"/>
      <c r="AA3" s="191"/>
      <c r="AB3" s="191"/>
      <c r="AC3" s="191"/>
      <c r="AD3" s="191"/>
      <c r="AE3" s="191"/>
      <c r="AF3" s="191"/>
      <c r="AG3" s="191"/>
      <c r="AH3" s="191"/>
      <c r="AI3" s="191"/>
      <c r="AJ3" s="191"/>
      <c r="AK3" s="191"/>
      <c r="AL3" s="191"/>
      <c r="AM3" s="191"/>
      <c r="AN3" s="191"/>
      <c r="AO3" s="191"/>
      <c r="AP3" s="191"/>
      <c r="AQ3" s="191"/>
      <c r="AR3" s="191"/>
      <c r="AS3" s="191"/>
      <c r="AT3" s="191"/>
      <c r="AU3" s="191"/>
      <c r="AV3" s="191"/>
      <c r="AW3" s="191"/>
      <c r="AX3" s="191"/>
      <c r="AY3" s="191"/>
      <c r="AZ3" s="191"/>
      <c r="BA3" s="191"/>
      <c r="BB3" s="191"/>
      <c r="BC3" s="191"/>
      <c r="BD3" s="191"/>
      <c r="BE3" s="191"/>
    </row>
    <row r="4" spans="2:48" s="159" customFormat="1" ht="14.25">
      <c r="B4" s="157"/>
      <c r="C4" s="158"/>
      <c r="D4" s="163" t="s">
        <v>21</v>
      </c>
      <c r="E4" s="163"/>
      <c r="F4" s="163">
        <v>2003</v>
      </c>
      <c r="G4" s="163"/>
      <c r="H4" s="163"/>
      <c r="I4" s="163">
        <v>2004</v>
      </c>
      <c r="J4" s="163"/>
      <c r="K4" s="163"/>
      <c r="L4" s="163">
        <v>2005</v>
      </c>
      <c r="M4" s="163"/>
      <c r="N4" s="163"/>
      <c r="O4" s="163">
        <v>2006</v>
      </c>
      <c r="P4" s="163"/>
      <c r="Q4" s="163"/>
      <c r="R4" s="163">
        <v>2007</v>
      </c>
      <c r="S4" s="163"/>
      <c r="T4" s="163"/>
      <c r="U4" s="163">
        <v>2008</v>
      </c>
      <c r="V4" s="163"/>
      <c r="W4" s="163" t="s">
        <v>21</v>
      </c>
      <c r="X4" s="163">
        <v>2009</v>
      </c>
      <c r="Y4" s="163"/>
      <c r="Z4" s="163"/>
      <c r="AA4" s="163">
        <v>2010</v>
      </c>
      <c r="AB4" s="164"/>
      <c r="AC4" s="164"/>
      <c r="AD4" s="164">
        <v>2011</v>
      </c>
      <c r="AE4" s="164"/>
      <c r="AF4" s="164"/>
      <c r="AG4" s="164">
        <v>2012</v>
      </c>
      <c r="AH4" s="164"/>
      <c r="AI4" s="165"/>
      <c r="AJ4" s="165">
        <v>2013</v>
      </c>
      <c r="AK4" s="166"/>
      <c r="AL4" s="166"/>
      <c r="AM4" s="166">
        <v>2014</v>
      </c>
      <c r="AN4" s="165"/>
      <c r="AO4" s="165"/>
      <c r="AP4" s="165">
        <v>2015</v>
      </c>
      <c r="AQ4" s="165"/>
      <c r="AR4" s="165"/>
      <c r="AS4" s="165">
        <v>2016</v>
      </c>
      <c r="AT4" s="165"/>
      <c r="AU4" s="165"/>
      <c r="AV4" s="165">
        <v>2017</v>
      </c>
    </row>
    <row r="5" spans="2:60" ht="3.75" customHeight="1">
      <c r="B5" s="117"/>
      <c r="C5" s="118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20"/>
      <c r="AC5" s="120"/>
      <c r="AD5" s="120"/>
      <c r="AE5" s="120"/>
      <c r="AF5" s="120"/>
      <c r="AG5" s="120"/>
      <c r="AH5" s="120"/>
      <c r="AI5" s="121"/>
      <c r="AJ5" s="121"/>
      <c r="AK5" s="122"/>
      <c r="AL5" s="122"/>
      <c r="AM5" s="122"/>
      <c r="AN5" s="122"/>
      <c r="AO5" s="122"/>
      <c r="AP5" s="122"/>
      <c r="AQ5" s="122"/>
      <c r="AR5" s="122"/>
      <c r="AS5" s="122"/>
      <c r="AT5" s="122"/>
      <c r="AU5" s="122"/>
      <c r="AV5" s="194"/>
      <c r="AW5" s="194"/>
      <c r="AX5" s="194"/>
      <c r="AY5" s="194"/>
      <c r="AZ5" s="194"/>
      <c r="BA5" s="194"/>
      <c r="BB5" s="194"/>
      <c r="BC5" s="194"/>
      <c r="BD5" s="194"/>
      <c r="BE5" s="194"/>
      <c r="BF5" s="194"/>
      <c r="BG5" s="194"/>
      <c r="BH5" s="194"/>
    </row>
    <row r="6" spans="2:60" ht="14.25">
      <c r="B6" s="208" t="s">
        <v>42</v>
      </c>
      <c r="C6" s="200" t="s">
        <v>38</v>
      </c>
      <c r="D6" s="197" t="s">
        <v>27</v>
      </c>
      <c r="E6" s="198"/>
      <c r="F6" s="198"/>
      <c r="G6" s="198"/>
      <c r="H6" s="198"/>
      <c r="I6" s="198"/>
      <c r="J6" s="198"/>
      <c r="K6" s="198"/>
      <c r="L6" s="198"/>
      <c r="M6" s="198"/>
      <c r="N6" s="198"/>
      <c r="O6" s="198"/>
      <c r="P6" s="198"/>
      <c r="Q6" s="198"/>
      <c r="R6" s="198"/>
      <c r="S6" s="198"/>
      <c r="T6" s="198"/>
      <c r="U6" s="198"/>
      <c r="V6" s="198"/>
      <c r="W6" s="198"/>
      <c r="X6" s="198"/>
      <c r="Y6" s="198"/>
      <c r="Z6" s="198"/>
      <c r="AA6" s="198"/>
      <c r="AB6" s="198"/>
      <c r="AC6" s="198"/>
      <c r="AD6" s="198"/>
      <c r="AE6" s="198"/>
      <c r="AF6" s="198"/>
      <c r="AG6" s="198"/>
      <c r="AH6" s="198"/>
      <c r="AI6" s="198"/>
      <c r="AJ6" s="198"/>
      <c r="AK6" s="198"/>
      <c r="AL6" s="198"/>
      <c r="AM6" s="198"/>
      <c r="AN6" s="198"/>
      <c r="AO6" s="198"/>
      <c r="AP6" s="198"/>
      <c r="AQ6" s="198"/>
      <c r="AR6" s="198"/>
      <c r="AS6" s="198"/>
      <c r="AT6" s="198"/>
      <c r="AU6" s="198"/>
      <c r="AV6" s="198"/>
      <c r="AW6" s="198"/>
      <c r="AX6" s="198"/>
      <c r="AY6" s="198"/>
      <c r="AZ6" s="198"/>
      <c r="BA6" s="198"/>
      <c r="BB6" s="198"/>
      <c r="BC6" s="198"/>
      <c r="BD6" s="198"/>
      <c r="BE6" s="198"/>
      <c r="BF6" s="198"/>
      <c r="BG6" s="198"/>
      <c r="BH6" s="198"/>
    </row>
    <row r="7" spans="2:60" ht="15" customHeight="1">
      <c r="B7" s="209"/>
      <c r="C7" s="201"/>
      <c r="D7" s="205">
        <v>2003</v>
      </c>
      <c r="E7" s="206"/>
      <c r="F7" s="207"/>
      <c r="G7" s="205">
        <v>2004</v>
      </c>
      <c r="H7" s="206"/>
      <c r="I7" s="207"/>
      <c r="J7" s="205">
        <v>2005</v>
      </c>
      <c r="K7" s="206"/>
      <c r="L7" s="207"/>
      <c r="M7" s="205">
        <v>2006</v>
      </c>
      <c r="N7" s="206"/>
      <c r="O7" s="207"/>
      <c r="P7" s="205">
        <v>2007</v>
      </c>
      <c r="Q7" s="206"/>
      <c r="R7" s="207"/>
      <c r="S7" s="205">
        <v>2008</v>
      </c>
      <c r="T7" s="206"/>
      <c r="U7" s="207"/>
      <c r="V7" s="205">
        <v>2009</v>
      </c>
      <c r="W7" s="206"/>
      <c r="X7" s="207"/>
      <c r="Y7" s="206" t="s">
        <v>37</v>
      </c>
      <c r="Z7" s="206"/>
      <c r="AA7" s="206"/>
      <c r="AB7" s="205">
        <v>2011</v>
      </c>
      <c r="AC7" s="206"/>
      <c r="AD7" s="207"/>
      <c r="AE7" s="206">
        <v>2012</v>
      </c>
      <c r="AF7" s="206"/>
      <c r="AG7" s="207"/>
      <c r="AH7" s="205">
        <v>2013</v>
      </c>
      <c r="AI7" s="206"/>
      <c r="AJ7" s="207"/>
      <c r="AK7" s="199">
        <v>2014</v>
      </c>
      <c r="AL7" s="195"/>
      <c r="AM7" s="196"/>
      <c r="AN7" s="199">
        <v>2015</v>
      </c>
      <c r="AO7" s="195"/>
      <c r="AP7" s="196"/>
      <c r="AQ7" s="199">
        <v>2016</v>
      </c>
      <c r="AR7" s="195"/>
      <c r="AS7" s="196"/>
      <c r="AT7" s="195">
        <v>2017</v>
      </c>
      <c r="AU7" s="195"/>
      <c r="AV7" s="196"/>
      <c r="AW7" s="195">
        <v>2018</v>
      </c>
      <c r="AX7" s="195"/>
      <c r="AY7" s="196"/>
      <c r="AZ7" s="195">
        <v>2019</v>
      </c>
      <c r="BA7" s="195"/>
      <c r="BB7" s="196"/>
      <c r="BC7" s="195">
        <v>2020</v>
      </c>
      <c r="BD7" s="195"/>
      <c r="BE7" s="196"/>
      <c r="BF7" s="195">
        <v>2021</v>
      </c>
      <c r="BG7" s="195"/>
      <c r="BH7" s="196"/>
    </row>
    <row r="8" spans="2:60" ht="42.75">
      <c r="B8" s="210"/>
      <c r="C8" s="202"/>
      <c r="D8" s="123" t="s">
        <v>31</v>
      </c>
      <c r="E8" s="155" t="s">
        <v>32</v>
      </c>
      <c r="F8" s="156" t="s">
        <v>33</v>
      </c>
      <c r="G8" s="123" t="s">
        <v>31</v>
      </c>
      <c r="H8" s="155" t="s">
        <v>32</v>
      </c>
      <c r="I8" s="156" t="s">
        <v>33</v>
      </c>
      <c r="J8" s="123" t="s">
        <v>31</v>
      </c>
      <c r="K8" s="155" t="s">
        <v>32</v>
      </c>
      <c r="L8" s="156" t="s">
        <v>33</v>
      </c>
      <c r="M8" s="123" t="s">
        <v>31</v>
      </c>
      <c r="N8" s="155" t="s">
        <v>32</v>
      </c>
      <c r="O8" s="156" t="s">
        <v>33</v>
      </c>
      <c r="P8" s="123" t="s">
        <v>31</v>
      </c>
      <c r="Q8" s="155" t="s">
        <v>32</v>
      </c>
      <c r="R8" s="156" t="s">
        <v>33</v>
      </c>
      <c r="S8" s="123" t="s">
        <v>31</v>
      </c>
      <c r="T8" s="155" t="s">
        <v>32</v>
      </c>
      <c r="U8" s="156" t="s">
        <v>33</v>
      </c>
      <c r="V8" s="123" t="s">
        <v>31</v>
      </c>
      <c r="W8" s="155" t="s">
        <v>32</v>
      </c>
      <c r="X8" s="156" t="s">
        <v>33</v>
      </c>
      <c r="Y8" s="125" t="s">
        <v>31</v>
      </c>
      <c r="Z8" s="155" t="s">
        <v>32</v>
      </c>
      <c r="AA8" s="156" t="s">
        <v>33</v>
      </c>
      <c r="AB8" s="123" t="s">
        <v>31</v>
      </c>
      <c r="AC8" s="155" t="s">
        <v>32</v>
      </c>
      <c r="AD8" s="156" t="s">
        <v>33</v>
      </c>
      <c r="AE8" s="125" t="s">
        <v>31</v>
      </c>
      <c r="AF8" s="155" t="s">
        <v>32</v>
      </c>
      <c r="AG8" s="156" t="s">
        <v>33</v>
      </c>
      <c r="AH8" s="123" t="s">
        <v>31</v>
      </c>
      <c r="AI8" s="155" t="s">
        <v>32</v>
      </c>
      <c r="AJ8" s="156" t="s">
        <v>33</v>
      </c>
      <c r="AK8" s="123" t="s">
        <v>31</v>
      </c>
      <c r="AL8" s="155" t="s">
        <v>32</v>
      </c>
      <c r="AM8" s="156" t="s">
        <v>33</v>
      </c>
      <c r="AN8" s="123" t="s">
        <v>31</v>
      </c>
      <c r="AO8" s="155" t="s">
        <v>32</v>
      </c>
      <c r="AP8" s="156" t="s">
        <v>33</v>
      </c>
      <c r="AQ8" s="123" t="s">
        <v>31</v>
      </c>
      <c r="AR8" s="155" t="s">
        <v>32</v>
      </c>
      <c r="AS8" s="156" t="s">
        <v>33</v>
      </c>
      <c r="AT8" s="125" t="s">
        <v>31</v>
      </c>
      <c r="AU8" s="155" t="s">
        <v>32</v>
      </c>
      <c r="AV8" s="156" t="s">
        <v>33</v>
      </c>
      <c r="AW8" s="125" t="s">
        <v>31</v>
      </c>
      <c r="AX8" s="155" t="s">
        <v>32</v>
      </c>
      <c r="AY8" s="156" t="s">
        <v>33</v>
      </c>
      <c r="AZ8" s="125" t="s">
        <v>31</v>
      </c>
      <c r="BA8" s="155" t="s">
        <v>32</v>
      </c>
      <c r="BB8" s="156" t="s">
        <v>33</v>
      </c>
      <c r="BC8" s="125" t="s">
        <v>31</v>
      </c>
      <c r="BD8" s="155" t="s">
        <v>32</v>
      </c>
      <c r="BE8" s="156" t="s">
        <v>33</v>
      </c>
      <c r="BF8" s="125" t="s">
        <v>31</v>
      </c>
      <c r="BG8" s="155" t="s">
        <v>32</v>
      </c>
      <c r="BH8" s="156" t="s">
        <v>33</v>
      </c>
    </row>
    <row r="9" spans="2:60" s="5" customFormat="1" ht="14.25">
      <c r="B9" s="91" t="s">
        <v>52</v>
      </c>
      <c r="C9" s="92" t="s">
        <v>26</v>
      </c>
      <c r="D9" s="93">
        <v>420</v>
      </c>
      <c r="E9" s="94">
        <f aca="true" t="shared" si="0" ref="E9:E16">D9/F9*10000</f>
        <v>537756</v>
      </c>
      <c r="F9" s="95">
        <v>7.810233637560529</v>
      </c>
      <c r="G9" s="93">
        <v>405</v>
      </c>
      <c r="H9" s="94">
        <f aca="true" t="shared" si="1" ref="H9:H16">G9/I9*10000</f>
        <v>543451</v>
      </c>
      <c r="I9" s="96">
        <v>7.452373811070363</v>
      </c>
      <c r="J9" s="93">
        <v>392</v>
      </c>
      <c r="K9" s="94">
        <f aca="true" t="shared" si="2" ref="K9:K16">J9/L9*10000</f>
        <v>549327</v>
      </c>
      <c r="L9" s="95">
        <v>7.136004601994804</v>
      </c>
      <c r="M9" s="93">
        <v>405</v>
      </c>
      <c r="N9" s="94">
        <f aca="true" t="shared" si="3" ref="N9:N16">M9/O9*10000</f>
        <v>555589</v>
      </c>
      <c r="O9" s="95">
        <v>7.289561168417661</v>
      </c>
      <c r="P9" s="93">
        <v>393</v>
      </c>
      <c r="Q9" s="94">
        <f aca="true" t="shared" si="4" ref="Q9:Q16">P9/R9*10000</f>
        <v>562063</v>
      </c>
      <c r="R9" s="96">
        <v>6.992098750495941</v>
      </c>
      <c r="S9" s="93">
        <v>410</v>
      </c>
      <c r="T9" s="94">
        <f aca="true" t="shared" si="5" ref="T9:T16">S9/U9*10000</f>
        <v>568548</v>
      </c>
      <c r="U9" s="96">
        <v>7.211352427587468</v>
      </c>
      <c r="V9" s="93">
        <v>412</v>
      </c>
      <c r="W9" s="94">
        <f aca="true" t="shared" si="6" ref="W9:W16">V9/X9*10000</f>
        <v>574977</v>
      </c>
      <c r="X9" s="96">
        <v>7.165504011464806</v>
      </c>
      <c r="Y9" s="93">
        <v>422</v>
      </c>
      <c r="Z9" s="94">
        <f aca="true" t="shared" si="7" ref="Z9:Z16">Y9/AA9*10000</f>
        <v>552902</v>
      </c>
      <c r="AA9" s="97">
        <f>(422/552902)*10000</f>
        <v>7.632455661220252</v>
      </c>
      <c r="AB9" s="93">
        <v>422</v>
      </c>
      <c r="AC9" s="94">
        <f aca="true" t="shared" si="8" ref="AC9:AC16">AB9/AD9*10000</f>
        <v>561349</v>
      </c>
      <c r="AD9" s="98">
        <f>(422/561349)*10000</f>
        <v>7.517604912451969</v>
      </c>
      <c r="AE9" s="93">
        <v>415</v>
      </c>
      <c r="AF9" s="94">
        <f aca="true" t="shared" si="9" ref="AF9:AF16">AE9/AG9*10000</f>
        <v>565508.9999999999</v>
      </c>
      <c r="AG9" s="98">
        <f>(415/565509)*10000</f>
        <v>7.338521579674241</v>
      </c>
      <c r="AH9" s="99">
        <v>408</v>
      </c>
      <c r="AI9" s="94">
        <f aca="true" t="shared" si="10" ref="AI9:AI16">AH9/AJ9*10000</f>
        <v>569911</v>
      </c>
      <c r="AJ9" s="98">
        <f>(408/569911)*10000</f>
        <v>7.1590125475732185</v>
      </c>
      <c r="AK9" s="100">
        <v>408</v>
      </c>
      <c r="AL9" s="94">
        <f aca="true" t="shared" si="11" ref="AL9:AL16">AK9/AM9*10000</f>
        <v>574263</v>
      </c>
      <c r="AM9" s="101">
        <f>(408/574263)*10000</f>
        <v>7.104758621049937</v>
      </c>
      <c r="AN9" s="102">
        <v>395</v>
      </c>
      <c r="AO9" s="103">
        <v>578513</v>
      </c>
      <c r="AP9" s="104">
        <f>AN9/AO9*1000</f>
        <v>0.6827850022384977</v>
      </c>
      <c r="AQ9" s="136">
        <v>382</v>
      </c>
      <c r="AR9" s="138">
        <f>AQ9*10000/AS9</f>
        <v>582541.0000000001</v>
      </c>
      <c r="AS9" s="137">
        <v>6.557478357746493</v>
      </c>
      <c r="AT9" s="138">
        <v>364</v>
      </c>
      <c r="AU9" s="138">
        <f>AT9*10000/AV9</f>
        <v>586564</v>
      </c>
      <c r="AV9" s="137">
        <v>6.205631440047463</v>
      </c>
      <c r="AW9" s="110">
        <v>360</v>
      </c>
      <c r="AX9" s="138">
        <v>590418</v>
      </c>
      <c r="AY9" s="137">
        <f>(AW9*10000)/AX9</f>
        <v>6.097375080028048</v>
      </c>
      <c r="AZ9" s="110">
        <v>366</v>
      </c>
      <c r="BA9" s="138">
        <v>594270</v>
      </c>
      <c r="BB9" s="137">
        <f>(AZ9*10000)/BA9</f>
        <v>6.158816699480035</v>
      </c>
      <c r="BC9" s="110">
        <v>235</v>
      </c>
      <c r="BD9" s="138">
        <v>597969</v>
      </c>
      <c r="BE9" s="137">
        <f>(BC9*10000)/BD9</f>
        <v>3.9299696138094116</v>
      </c>
      <c r="BF9" s="192">
        <v>295</v>
      </c>
      <c r="BG9" s="138">
        <v>601618</v>
      </c>
      <c r="BH9" s="137">
        <f>(BF9*10000)/BG9</f>
        <v>4.903443713452723</v>
      </c>
    </row>
    <row r="10" spans="2:60" s="10" customFormat="1" ht="14.25">
      <c r="B10" s="13" t="s">
        <v>53</v>
      </c>
      <c r="C10" s="90" t="s">
        <v>26</v>
      </c>
      <c r="D10" s="15">
        <v>766</v>
      </c>
      <c r="E10" s="17">
        <f t="shared" si="0"/>
        <v>343222</v>
      </c>
      <c r="F10" s="31">
        <v>22.317916683662467</v>
      </c>
      <c r="G10" s="15">
        <v>729</v>
      </c>
      <c r="H10" s="17">
        <f t="shared" si="1"/>
        <v>343105.00000000006</v>
      </c>
      <c r="I10" s="29">
        <v>21.247140088311156</v>
      </c>
      <c r="J10" s="15">
        <v>711</v>
      </c>
      <c r="K10" s="17">
        <f t="shared" si="2"/>
        <v>342985.00000000006</v>
      </c>
      <c r="L10" s="31">
        <v>20.729769523448546</v>
      </c>
      <c r="M10" s="15">
        <v>741</v>
      </c>
      <c r="N10" s="17">
        <f t="shared" si="3"/>
        <v>342859</v>
      </c>
      <c r="O10" s="31">
        <v>21.61238293292578</v>
      </c>
      <c r="P10" s="15">
        <v>733</v>
      </c>
      <c r="Q10" s="17">
        <f t="shared" si="4"/>
        <v>342728.99999999994</v>
      </c>
      <c r="R10" s="29">
        <v>21.387160117760683</v>
      </c>
      <c r="S10" s="15">
        <v>718</v>
      </c>
      <c r="T10" s="17">
        <f t="shared" si="5"/>
        <v>342598.00000000006</v>
      </c>
      <c r="U10" s="29">
        <v>20.957507049077925</v>
      </c>
      <c r="V10" s="15">
        <v>710</v>
      </c>
      <c r="W10" s="17">
        <f t="shared" si="6"/>
        <v>342468.99999999994</v>
      </c>
      <c r="X10" s="29">
        <v>20.731803462503176</v>
      </c>
      <c r="Y10" s="15">
        <v>612</v>
      </c>
      <c r="Z10" s="17">
        <f t="shared" si="7"/>
        <v>342677.00000000006</v>
      </c>
      <c r="AA10" s="48">
        <f>(612/342677)*10000</f>
        <v>17.85938361780919</v>
      </c>
      <c r="AB10" s="15">
        <v>613</v>
      </c>
      <c r="AC10" s="17">
        <f t="shared" si="8"/>
        <v>346847</v>
      </c>
      <c r="AD10" s="49">
        <f>(613/346847)*10000</f>
        <v>17.673498689623955</v>
      </c>
      <c r="AE10" s="15">
        <v>587</v>
      </c>
      <c r="AF10" s="17">
        <f t="shared" si="9"/>
        <v>347924</v>
      </c>
      <c r="AG10" s="50">
        <f>(587/347924)*10000</f>
        <v>16.871500672560675</v>
      </c>
      <c r="AH10" s="20">
        <v>612</v>
      </c>
      <c r="AI10" s="17">
        <f t="shared" si="10"/>
        <v>348999</v>
      </c>
      <c r="AJ10" s="50">
        <f>(612/348999)*10000</f>
        <v>17.535866864948037</v>
      </c>
      <c r="AK10" s="23">
        <v>612</v>
      </c>
      <c r="AL10" s="17">
        <f t="shared" si="11"/>
        <v>350080</v>
      </c>
      <c r="AM10" s="51">
        <f>(612/350080)*10000</f>
        <v>17.481718464351005</v>
      </c>
      <c r="AN10" s="46">
        <v>617</v>
      </c>
      <c r="AO10" s="47">
        <v>351165</v>
      </c>
      <c r="AP10" s="52">
        <f aca="true" t="shared" si="12" ref="AP10:AP16">AN10/AO10*10000</f>
        <v>17.570088135207097</v>
      </c>
      <c r="AQ10" s="132">
        <v>603</v>
      </c>
      <c r="AR10" s="131">
        <f aca="true" t="shared" si="13" ref="AR10:AR34">AQ10*10000/AS10</f>
        <v>352245.99999999994</v>
      </c>
      <c r="AS10" s="135">
        <v>17.11871816855266</v>
      </c>
      <c r="AT10" s="131">
        <v>595</v>
      </c>
      <c r="AU10" s="127">
        <f aca="true" t="shared" si="14" ref="AU10:AU34">AT10*10000/AV10</f>
        <v>353273.00000000006</v>
      </c>
      <c r="AV10" s="135">
        <v>16.842498577587303</v>
      </c>
      <c r="AW10" s="169">
        <v>579</v>
      </c>
      <c r="AX10" s="127">
        <v>354314</v>
      </c>
      <c r="AY10" s="135">
        <f aca="true" t="shared" si="15" ref="AY10:AY34">(AW10*10000)/AX10</f>
        <v>16.34143725621906</v>
      </c>
      <c r="AZ10" s="169">
        <v>580</v>
      </c>
      <c r="BA10" s="127">
        <v>355352</v>
      </c>
      <c r="BB10" s="135">
        <f aca="true" t="shared" si="16" ref="BB10:BB32">(AZ10*10000)/BA10</f>
        <v>16.321844255836467</v>
      </c>
      <c r="BC10" s="169">
        <v>614</v>
      </c>
      <c r="BD10" s="127">
        <v>356392</v>
      </c>
      <c r="BE10" s="135">
        <f aca="true" t="shared" si="17" ref="BE10:BE34">(BC10*10000)/BD10</f>
        <v>17.228220611012592</v>
      </c>
      <c r="BF10" s="193">
        <v>631</v>
      </c>
      <c r="BG10" s="127">
        <v>357440</v>
      </c>
      <c r="BH10" s="135">
        <f aca="true" t="shared" si="18" ref="BH10:BH34">(BF10*10000)/BG10</f>
        <v>17.653312444046552</v>
      </c>
    </row>
    <row r="11" spans="2:60" ht="14.25">
      <c r="B11" s="91" t="s">
        <v>54</v>
      </c>
      <c r="C11" s="92" t="s">
        <v>26</v>
      </c>
      <c r="D11" s="100">
        <v>240</v>
      </c>
      <c r="E11" s="94">
        <f t="shared" si="0"/>
        <v>299969.99999999994</v>
      </c>
      <c r="F11" s="95">
        <v>8.000800080008002</v>
      </c>
      <c r="G11" s="100">
        <v>243</v>
      </c>
      <c r="H11" s="94">
        <f t="shared" si="1"/>
        <v>303620.00000000006</v>
      </c>
      <c r="I11" s="96">
        <v>8.003425334299452</v>
      </c>
      <c r="J11" s="100">
        <v>232</v>
      </c>
      <c r="K11" s="94">
        <f t="shared" si="2"/>
        <v>307359</v>
      </c>
      <c r="L11" s="95">
        <v>7.5481765622610695</v>
      </c>
      <c r="M11" s="100">
        <v>229</v>
      </c>
      <c r="N11" s="94">
        <f t="shared" si="3"/>
        <v>311288</v>
      </c>
      <c r="O11" s="95">
        <v>7.356531572049034</v>
      </c>
      <c r="P11" s="100">
        <v>232</v>
      </c>
      <c r="Q11" s="94">
        <f t="shared" si="4"/>
        <v>315347</v>
      </c>
      <c r="R11" s="96">
        <v>7.356975014824939</v>
      </c>
      <c r="S11" s="100">
        <v>230</v>
      </c>
      <c r="T11" s="94">
        <f t="shared" si="5"/>
        <v>319416</v>
      </c>
      <c r="U11" s="96">
        <v>7.200641170135498</v>
      </c>
      <c r="V11" s="100">
        <v>242</v>
      </c>
      <c r="W11" s="94">
        <f t="shared" si="6"/>
        <v>323452</v>
      </c>
      <c r="X11" s="96">
        <v>7.481790188343247</v>
      </c>
      <c r="Y11" s="100">
        <v>241</v>
      </c>
      <c r="Z11" s="94">
        <f t="shared" si="7"/>
        <v>324244</v>
      </c>
      <c r="AA11" s="96">
        <f>(241/324244)*10000</f>
        <v>7.432674158966704</v>
      </c>
      <c r="AB11" s="93">
        <v>239</v>
      </c>
      <c r="AC11" s="94">
        <f t="shared" si="8"/>
        <v>330277.00000000006</v>
      </c>
      <c r="AD11" s="98">
        <f>(239/330277)*10000</f>
        <v>7.236350094011995</v>
      </c>
      <c r="AE11" s="93">
        <v>241</v>
      </c>
      <c r="AF11" s="94">
        <f t="shared" si="9"/>
        <v>334458</v>
      </c>
      <c r="AG11" s="98">
        <f>(241/334458)*10000</f>
        <v>7.205688008658785</v>
      </c>
      <c r="AH11" s="99">
        <v>241</v>
      </c>
      <c r="AI11" s="94">
        <f t="shared" si="10"/>
        <v>338647</v>
      </c>
      <c r="AJ11" s="98">
        <f>(241/338647)*10000</f>
        <v>7.116554996796074</v>
      </c>
      <c r="AK11" s="100">
        <v>241</v>
      </c>
      <c r="AL11" s="94">
        <f t="shared" si="11"/>
        <v>342682</v>
      </c>
      <c r="AM11" s="101">
        <f>(241/342682)*10000</f>
        <v>7.032759234508962</v>
      </c>
      <c r="AN11" s="102">
        <v>245</v>
      </c>
      <c r="AO11" s="103">
        <v>346658</v>
      </c>
      <c r="AP11" s="104">
        <f t="shared" si="12"/>
        <v>7.067484379417178</v>
      </c>
      <c r="AQ11" s="139">
        <v>246</v>
      </c>
      <c r="AR11" s="142">
        <f t="shared" si="13"/>
        <v>350578</v>
      </c>
      <c r="AS11" s="141">
        <v>7.016983381729601</v>
      </c>
      <c r="AT11" s="142">
        <v>235</v>
      </c>
      <c r="AU11" s="140">
        <f t="shared" si="14"/>
        <v>354447</v>
      </c>
      <c r="AV11" s="141">
        <v>6.6300462410459104</v>
      </c>
      <c r="AW11" s="170">
        <v>231</v>
      </c>
      <c r="AX11" s="140">
        <v>358262</v>
      </c>
      <c r="AY11" s="141">
        <f t="shared" si="15"/>
        <v>6.447795188995763</v>
      </c>
      <c r="AZ11" s="170">
        <v>235</v>
      </c>
      <c r="BA11" s="140">
        <v>362021</v>
      </c>
      <c r="BB11" s="141">
        <f t="shared" si="16"/>
        <v>6.4913361379588475</v>
      </c>
      <c r="BC11" s="170">
        <v>231</v>
      </c>
      <c r="BD11" s="140">
        <v>365771</v>
      </c>
      <c r="BE11" s="141">
        <f t="shared" si="17"/>
        <v>6.315426865443133</v>
      </c>
      <c r="BF11" s="170">
        <v>234</v>
      </c>
      <c r="BG11" s="140">
        <v>369294</v>
      </c>
      <c r="BH11" s="141">
        <f t="shared" si="18"/>
        <v>6.336414888950268</v>
      </c>
    </row>
    <row r="12" spans="2:60" ht="14.25">
      <c r="B12" s="13" t="s">
        <v>55</v>
      </c>
      <c r="C12" s="90" t="s">
        <v>26</v>
      </c>
      <c r="D12" s="23">
        <v>125</v>
      </c>
      <c r="E12" s="17">
        <f t="shared" si="0"/>
        <v>252865</v>
      </c>
      <c r="F12" s="31">
        <v>4.943349217962154</v>
      </c>
      <c r="G12" s="23">
        <v>123</v>
      </c>
      <c r="H12" s="17">
        <f t="shared" si="1"/>
        <v>256478</v>
      </c>
      <c r="I12" s="29">
        <v>4.795732967350026</v>
      </c>
      <c r="J12" s="23">
        <v>115</v>
      </c>
      <c r="K12" s="17">
        <f t="shared" si="2"/>
        <v>260180.99999999997</v>
      </c>
      <c r="L12" s="31">
        <v>4.419999923130437</v>
      </c>
      <c r="M12" s="23">
        <v>126</v>
      </c>
      <c r="N12" s="17">
        <f t="shared" si="3"/>
        <v>264072</v>
      </c>
      <c r="O12" s="31">
        <v>4.771425974734163</v>
      </c>
      <c r="P12" s="23">
        <v>126</v>
      </c>
      <c r="Q12" s="17">
        <f t="shared" si="4"/>
        <v>268092.99999999994</v>
      </c>
      <c r="R12" s="29">
        <v>4.6998616151857755</v>
      </c>
      <c r="S12" s="23">
        <v>134</v>
      </c>
      <c r="T12" s="17">
        <f t="shared" si="5"/>
        <v>272124</v>
      </c>
      <c r="U12" s="29">
        <v>4.924225720627361</v>
      </c>
      <c r="V12" s="23">
        <v>134</v>
      </c>
      <c r="W12" s="17">
        <f t="shared" si="6"/>
        <v>276121</v>
      </c>
      <c r="X12" s="29">
        <v>4.85294490458893</v>
      </c>
      <c r="Y12" s="23">
        <v>131</v>
      </c>
      <c r="Z12" s="17">
        <f t="shared" si="7"/>
        <v>300959.00000000006</v>
      </c>
      <c r="AA12" s="33">
        <f>(131/300959)*10000</f>
        <v>4.352752368262786</v>
      </c>
      <c r="AB12" s="15">
        <v>130</v>
      </c>
      <c r="AC12" s="17">
        <f t="shared" si="8"/>
        <v>308861.00000000006</v>
      </c>
      <c r="AD12" s="49">
        <f>(130/308861)*10000</f>
        <v>4.209013115932409</v>
      </c>
      <c r="AE12" s="15">
        <v>128</v>
      </c>
      <c r="AF12" s="17">
        <f t="shared" si="9"/>
        <v>316567</v>
      </c>
      <c r="AG12" s="50">
        <f>(128/316567)*10000</f>
        <v>4.0433778631379775</v>
      </c>
      <c r="AH12" s="20">
        <v>125</v>
      </c>
      <c r="AI12" s="17">
        <f t="shared" si="10"/>
        <v>323806</v>
      </c>
      <c r="AJ12" s="50">
        <f>(125/323806)*10000</f>
        <v>3.8603361271872667</v>
      </c>
      <c r="AK12" s="23">
        <v>125</v>
      </c>
      <c r="AL12" s="17">
        <f t="shared" si="11"/>
        <v>331031</v>
      </c>
      <c r="AM12" s="51">
        <f>(125/331031)*10000</f>
        <v>3.776081394189668</v>
      </c>
      <c r="AN12" s="46">
        <v>131</v>
      </c>
      <c r="AO12" s="47">
        <v>337890</v>
      </c>
      <c r="AP12" s="52">
        <f t="shared" si="12"/>
        <v>3.8770013909852317</v>
      </c>
      <c r="AQ12" s="132">
        <v>129</v>
      </c>
      <c r="AR12" s="129">
        <f t="shared" si="13"/>
        <v>344795</v>
      </c>
      <c r="AS12" s="133">
        <v>3.7413535579112227</v>
      </c>
      <c r="AT12" s="129">
        <v>138</v>
      </c>
      <c r="AU12" s="2">
        <f t="shared" si="14"/>
        <v>351564</v>
      </c>
      <c r="AV12" s="133">
        <v>3.9253165853159024</v>
      </c>
      <c r="AW12" s="169">
        <v>168</v>
      </c>
      <c r="AX12" s="2">
        <v>358342</v>
      </c>
      <c r="AY12" s="133">
        <f t="shared" si="15"/>
        <v>4.6882587025802165</v>
      </c>
      <c r="AZ12" s="169">
        <v>160</v>
      </c>
      <c r="BA12" s="2">
        <v>364641</v>
      </c>
      <c r="BB12" s="133">
        <f t="shared" si="16"/>
        <v>4.387877391735981</v>
      </c>
      <c r="BC12" s="169">
        <v>169</v>
      </c>
      <c r="BD12" s="2">
        <v>370900</v>
      </c>
      <c r="BE12" s="133">
        <f t="shared" si="17"/>
        <v>4.556484227554597</v>
      </c>
      <c r="BF12" s="193">
        <v>155</v>
      </c>
      <c r="BG12" s="2">
        <v>377237</v>
      </c>
      <c r="BH12" s="133">
        <f t="shared" si="18"/>
        <v>4.108822835511893</v>
      </c>
    </row>
    <row r="13" spans="2:60" ht="14.25">
      <c r="B13" s="91" t="s">
        <v>56</v>
      </c>
      <c r="C13" s="92" t="s">
        <v>26</v>
      </c>
      <c r="D13" s="100">
        <v>161</v>
      </c>
      <c r="E13" s="94">
        <f t="shared" si="0"/>
        <v>125755</v>
      </c>
      <c r="F13" s="95">
        <v>12.8026718619538</v>
      </c>
      <c r="G13" s="100">
        <v>160</v>
      </c>
      <c r="H13" s="94">
        <f t="shared" si="1"/>
        <v>129099</v>
      </c>
      <c r="I13" s="96">
        <v>12.393589415874638</v>
      </c>
      <c r="J13" s="100">
        <v>160</v>
      </c>
      <c r="K13" s="94">
        <f t="shared" si="2"/>
        <v>132524</v>
      </c>
      <c r="L13" s="95">
        <v>12.073284838972564</v>
      </c>
      <c r="M13" s="100">
        <v>152</v>
      </c>
      <c r="N13" s="94">
        <f t="shared" si="3"/>
        <v>136124</v>
      </c>
      <c r="O13" s="95">
        <v>11.166289559519262</v>
      </c>
      <c r="P13" s="100">
        <v>157</v>
      </c>
      <c r="Q13" s="94">
        <f t="shared" si="4"/>
        <v>139844</v>
      </c>
      <c r="R13" s="96">
        <v>11.226795572209033</v>
      </c>
      <c r="S13" s="100">
        <v>163</v>
      </c>
      <c r="T13" s="94">
        <f t="shared" si="5"/>
        <v>143573</v>
      </c>
      <c r="U13" s="96">
        <v>11.353109567954977</v>
      </c>
      <c r="V13" s="100">
        <v>166</v>
      </c>
      <c r="W13" s="94">
        <f t="shared" si="6"/>
        <v>147272</v>
      </c>
      <c r="X13" s="96">
        <v>11.27166060079309</v>
      </c>
      <c r="Y13" s="100">
        <v>157</v>
      </c>
      <c r="Z13" s="94">
        <f t="shared" si="7"/>
        <v>163722</v>
      </c>
      <c r="AA13" s="96">
        <f>(157/163722)*10000</f>
        <v>9.589425978182529</v>
      </c>
      <c r="AB13" s="93">
        <v>175</v>
      </c>
      <c r="AC13" s="94">
        <f t="shared" si="8"/>
        <v>169284</v>
      </c>
      <c r="AD13" s="98">
        <f>(175/169284)*10000</f>
        <v>10.337657427754543</v>
      </c>
      <c r="AE13" s="93">
        <v>178</v>
      </c>
      <c r="AF13" s="94">
        <f t="shared" si="9"/>
        <v>175333</v>
      </c>
      <c r="AG13" s="98">
        <f>(178/175333)*10000</f>
        <v>10.152110555343262</v>
      </c>
      <c r="AH13" s="99">
        <v>188</v>
      </c>
      <c r="AI13" s="94">
        <f t="shared" si="10"/>
        <v>181122</v>
      </c>
      <c r="AJ13" s="98">
        <f>(188/181122)*10000</f>
        <v>10.379744039928887</v>
      </c>
      <c r="AK13" s="100">
        <v>188</v>
      </c>
      <c r="AL13" s="94">
        <f t="shared" si="11"/>
        <v>186842</v>
      </c>
      <c r="AM13" s="101">
        <f>(188/186842)*10000</f>
        <v>10.061977499705634</v>
      </c>
      <c r="AN13" s="102">
        <v>180</v>
      </c>
      <c r="AO13" s="103">
        <v>192430</v>
      </c>
      <c r="AP13" s="104">
        <f t="shared" si="12"/>
        <v>9.354050823676141</v>
      </c>
      <c r="AQ13" s="139">
        <v>183</v>
      </c>
      <c r="AR13" s="142">
        <f t="shared" si="13"/>
        <v>197895</v>
      </c>
      <c r="AS13" s="141">
        <v>9.24732812855302</v>
      </c>
      <c r="AT13" s="142">
        <v>180</v>
      </c>
      <c r="AU13" s="140">
        <f t="shared" si="14"/>
        <v>203292.00000000003</v>
      </c>
      <c r="AV13" s="141">
        <v>8.854258898530192</v>
      </c>
      <c r="AW13" s="110">
        <v>185</v>
      </c>
      <c r="AX13" s="140">
        <v>208615</v>
      </c>
      <c r="AY13" s="141">
        <f t="shared" si="15"/>
        <v>8.868010449871774</v>
      </c>
      <c r="AZ13" s="110">
        <v>185</v>
      </c>
      <c r="BA13" s="140">
        <v>213864</v>
      </c>
      <c r="BB13" s="141">
        <f t="shared" si="16"/>
        <v>8.650357236374518</v>
      </c>
      <c r="BC13" s="110">
        <v>184</v>
      </c>
      <c r="BD13" s="140">
        <v>219031</v>
      </c>
      <c r="BE13" s="141">
        <f t="shared" si="17"/>
        <v>8.400637352703498</v>
      </c>
      <c r="BF13" s="192">
        <v>221</v>
      </c>
      <c r="BG13" s="140">
        <v>224228</v>
      </c>
      <c r="BH13" s="141">
        <f t="shared" si="18"/>
        <v>9.856039388479584</v>
      </c>
    </row>
    <row r="14" spans="2:60" ht="14.25">
      <c r="B14" s="13" t="s">
        <v>57</v>
      </c>
      <c r="C14" s="90" t="s">
        <v>26</v>
      </c>
      <c r="D14" s="23">
        <v>226</v>
      </c>
      <c r="E14" s="17">
        <f t="shared" si="0"/>
        <v>367116</v>
      </c>
      <c r="F14" s="31">
        <v>6.156092352281023</v>
      </c>
      <c r="G14" s="23">
        <v>228</v>
      </c>
      <c r="H14" s="17">
        <f t="shared" si="1"/>
        <v>374546</v>
      </c>
      <c r="I14" s="29">
        <v>6.087369775675084</v>
      </c>
      <c r="J14" s="23">
        <v>225</v>
      </c>
      <c r="K14" s="17">
        <f t="shared" si="2"/>
        <v>382161</v>
      </c>
      <c r="L14" s="31">
        <v>5.88757094522989</v>
      </c>
      <c r="M14" s="23">
        <v>233</v>
      </c>
      <c r="N14" s="17">
        <f t="shared" si="3"/>
        <v>390163</v>
      </c>
      <c r="O14" s="31">
        <v>5.971863041856865</v>
      </c>
      <c r="P14" s="23">
        <v>235</v>
      </c>
      <c r="Q14" s="17">
        <f t="shared" si="4"/>
        <v>398433.00000000006</v>
      </c>
      <c r="R14" s="29">
        <v>5.898105829587408</v>
      </c>
      <c r="S14" s="23">
        <v>280</v>
      </c>
      <c r="T14" s="17">
        <f t="shared" si="5"/>
        <v>406722.00000000006</v>
      </c>
      <c r="U14" s="29">
        <v>6.8843091841601876</v>
      </c>
      <c r="V14" s="23">
        <v>312</v>
      </c>
      <c r="W14" s="17">
        <f t="shared" si="6"/>
        <v>414945</v>
      </c>
      <c r="X14" s="29">
        <v>7.519068792249575</v>
      </c>
      <c r="Y14" s="23">
        <v>351</v>
      </c>
      <c r="Z14" s="17">
        <f t="shared" si="7"/>
        <v>426005.00000000006</v>
      </c>
      <c r="AA14" s="33">
        <f>(351/426005)*10000</f>
        <v>8.239339913850776</v>
      </c>
      <c r="AB14" s="15">
        <v>370</v>
      </c>
      <c r="AC14" s="17">
        <f t="shared" si="8"/>
        <v>436751</v>
      </c>
      <c r="AD14" s="49">
        <f>(370/436751)*10000</f>
        <v>8.471646315635224</v>
      </c>
      <c r="AE14" s="15">
        <v>386</v>
      </c>
      <c r="AF14" s="17">
        <f t="shared" si="9"/>
        <v>446287</v>
      </c>
      <c r="AG14" s="50">
        <f>(386/446287)*10000</f>
        <v>8.649142816169864</v>
      </c>
      <c r="AH14" s="20">
        <v>387</v>
      </c>
      <c r="AI14" s="17">
        <f t="shared" si="10"/>
        <v>455672</v>
      </c>
      <c r="AJ14" s="50">
        <f>(387/455672)*10000</f>
        <v>8.492951070067944</v>
      </c>
      <c r="AK14" s="23">
        <v>387</v>
      </c>
      <c r="AL14" s="17">
        <f t="shared" si="11"/>
        <v>464939.00000000006</v>
      </c>
      <c r="AM14" s="51">
        <f>(387/464939)*10000</f>
        <v>8.323672567799216</v>
      </c>
      <c r="AN14" s="46">
        <v>449.91126775632773</v>
      </c>
      <c r="AO14" s="47">
        <v>473950</v>
      </c>
      <c r="AP14" s="52">
        <f t="shared" si="12"/>
        <v>9.492800248049958</v>
      </c>
      <c r="AQ14" s="132">
        <v>484.76247766527695</v>
      </c>
      <c r="AR14" s="129">
        <f t="shared" si="13"/>
        <v>482756.99999999994</v>
      </c>
      <c r="AS14" s="133">
        <v>10.041542176815188</v>
      </c>
      <c r="AT14" s="129">
        <v>469</v>
      </c>
      <c r="AU14" s="2">
        <f t="shared" si="14"/>
        <v>491652</v>
      </c>
      <c r="AV14" s="133">
        <v>9.5392676120508</v>
      </c>
      <c r="AW14" s="169">
        <v>473</v>
      </c>
      <c r="AX14" s="2">
        <v>500225</v>
      </c>
      <c r="AY14" s="133">
        <f t="shared" si="15"/>
        <v>9.455744914788346</v>
      </c>
      <c r="AZ14" s="169">
        <v>493</v>
      </c>
      <c r="BA14" s="2">
        <v>508671</v>
      </c>
      <c r="BB14" s="133">
        <f t="shared" si="16"/>
        <v>9.691922676936565</v>
      </c>
      <c r="BC14" s="169">
        <v>304</v>
      </c>
      <c r="BD14" s="2">
        <v>517082</v>
      </c>
      <c r="BE14" s="133">
        <f t="shared" si="17"/>
        <v>5.8791448938466235</v>
      </c>
      <c r="BF14" s="193">
        <v>451</v>
      </c>
      <c r="BG14" s="2">
        <v>525270</v>
      </c>
      <c r="BH14" s="133">
        <f t="shared" si="18"/>
        <v>8.586060502217906</v>
      </c>
    </row>
    <row r="15" spans="2:60" ht="14.25">
      <c r="B15" s="91" t="s">
        <v>58</v>
      </c>
      <c r="C15" s="92" t="s">
        <v>22</v>
      </c>
      <c r="D15" s="100">
        <v>592</v>
      </c>
      <c r="E15" s="94">
        <f t="shared" si="0"/>
        <v>418923.00000000006</v>
      </c>
      <c r="F15" s="95">
        <v>14.131475235305771</v>
      </c>
      <c r="G15" s="100">
        <v>575</v>
      </c>
      <c r="H15" s="94">
        <f t="shared" si="1"/>
        <v>419728</v>
      </c>
      <c r="I15" s="96">
        <v>13.699348149277627</v>
      </c>
      <c r="J15" s="100">
        <v>594</v>
      </c>
      <c r="K15" s="94">
        <f t="shared" si="2"/>
        <v>420552</v>
      </c>
      <c r="L15" s="95">
        <v>14.124293785310734</v>
      </c>
      <c r="M15" s="100">
        <v>578</v>
      </c>
      <c r="N15" s="94">
        <f t="shared" si="3"/>
        <v>421419</v>
      </c>
      <c r="O15" s="95">
        <v>13.715565743357562</v>
      </c>
      <c r="P15" s="100">
        <v>595</v>
      </c>
      <c r="Q15" s="94">
        <f t="shared" si="4"/>
        <v>422313</v>
      </c>
      <c r="R15" s="96">
        <v>14.08907611179386</v>
      </c>
      <c r="S15" s="100">
        <v>547</v>
      </c>
      <c r="T15" s="94">
        <f t="shared" si="5"/>
        <v>423209</v>
      </c>
      <c r="U15" s="96">
        <v>12.92505594162695</v>
      </c>
      <c r="V15" s="100">
        <v>522</v>
      </c>
      <c r="W15" s="94">
        <f t="shared" si="6"/>
        <v>424099</v>
      </c>
      <c r="X15" s="96">
        <v>12.308446848495281</v>
      </c>
      <c r="Y15" s="100">
        <v>538</v>
      </c>
      <c r="Z15" s="94">
        <f t="shared" si="7"/>
        <v>414196</v>
      </c>
      <c r="AA15" s="96">
        <f>(538/414196)*10000</f>
        <v>12.989019691160706</v>
      </c>
      <c r="AB15" s="93">
        <v>530</v>
      </c>
      <c r="AC15" s="94">
        <f t="shared" si="8"/>
        <v>418790</v>
      </c>
      <c r="AD15" s="98">
        <f>(530/418790)*10000</f>
        <v>12.65550753360873</v>
      </c>
      <c r="AE15" s="93">
        <v>540</v>
      </c>
      <c r="AF15" s="94">
        <f t="shared" si="9"/>
        <v>419531.00000000006</v>
      </c>
      <c r="AG15" s="98">
        <f>(540/419531)*10000</f>
        <v>12.871516050065429</v>
      </c>
      <c r="AH15" s="99">
        <v>533</v>
      </c>
      <c r="AI15" s="94">
        <f t="shared" si="10"/>
        <v>420271</v>
      </c>
      <c r="AJ15" s="98">
        <f>(533/420271)*10000</f>
        <v>12.682293091838362</v>
      </c>
      <c r="AK15" s="100">
        <v>533</v>
      </c>
      <c r="AL15" s="94">
        <f t="shared" si="11"/>
        <v>421008.99999999994</v>
      </c>
      <c r="AM15" s="101">
        <f>(533/421009)*10000</f>
        <v>12.660061898914275</v>
      </c>
      <c r="AN15" s="102">
        <v>571</v>
      </c>
      <c r="AO15" s="103">
        <v>421725</v>
      </c>
      <c r="AP15" s="104">
        <f t="shared" si="12"/>
        <v>13.53962890509218</v>
      </c>
      <c r="AQ15" s="139">
        <v>571</v>
      </c>
      <c r="AR15" s="142">
        <f t="shared" si="13"/>
        <v>422440</v>
      </c>
      <c r="AS15" s="141">
        <v>13.516712432534797</v>
      </c>
      <c r="AT15" s="142">
        <v>599</v>
      </c>
      <c r="AU15" s="140">
        <f t="shared" si="14"/>
        <v>423152.99999999994</v>
      </c>
      <c r="AV15" s="141">
        <v>14.155636377385958</v>
      </c>
      <c r="AW15" s="110">
        <v>626</v>
      </c>
      <c r="AX15" s="140">
        <v>423877</v>
      </c>
      <c r="AY15" s="141">
        <f t="shared" si="15"/>
        <v>14.768435182847854</v>
      </c>
      <c r="AZ15" s="110">
        <v>517</v>
      </c>
      <c r="BA15" s="140">
        <v>424567</v>
      </c>
      <c r="BB15" s="141">
        <f t="shared" si="16"/>
        <v>12.177112210793585</v>
      </c>
      <c r="BC15" s="110">
        <v>504</v>
      </c>
      <c r="BD15" s="140">
        <v>425265</v>
      </c>
      <c r="BE15" s="141">
        <f t="shared" si="17"/>
        <v>11.851433811858488</v>
      </c>
      <c r="BF15" s="192">
        <v>702</v>
      </c>
      <c r="BG15" s="140">
        <v>425911</v>
      </c>
      <c r="BH15" s="141">
        <f t="shared" si="18"/>
        <v>16.482316728142735</v>
      </c>
    </row>
    <row r="16" spans="2:60" s="8" customFormat="1" ht="14.25">
      <c r="B16" s="13" t="s">
        <v>59</v>
      </c>
      <c r="C16" s="90" t="s">
        <v>24</v>
      </c>
      <c r="D16" s="23">
        <v>11</v>
      </c>
      <c r="E16" s="17">
        <f t="shared" si="0"/>
        <v>174571</v>
      </c>
      <c r="F16" s="31">
        <v>0.6301161132146805</v>
      </c>
      <c r="G16" s="23">
        <v>25</v>
      </c>
      <c r="H16" s="17">
        <f t="shared" si="1"/>
        <v>175079</v>
      </c>
      <c r="I16" s="29">
        <v>1.4279268216062464</v>
      </c>
      <c r="J16" s="23">
        <v>28</v>
      </c>
      <c r="K16" s="17">
        <f t="shared" si="2"/>
        <v>175598</v>
      </c>
      <c r="L16" s="31">
        <v>1.59455119078805</v>
      </c>
      <c r="M16" s="23">
        <v>31</v>
      </c>
      <c r="N16" s="17">
        <f t="shared" si="3"/>
        <v>176144</v>
      </c>
      <c r="O16" s="31">
        <v>1.7599236987918976</v>
      </c>
      <c r="P16" s="23">
        <v>34</v>
      </c>
      <c r="Q16" s="17">
        <f t="shared" si="4"/>
        <v>176708</v>
      </c>
      <c r="R16" s="29">
        <v>1.924078140208706</v>
      </c>
      <c r="S16" s="23">
        <v>35</v>
      </c>
      <c r="T16" s="17">
        <f t="shared" si="5"/>
        <v>177274</v>
      </c>
      <c r="U16" s="29">
        <v>1.9743447995757981</v>
      </c>
      <c r="V16" s="23">
        <v>43</v>
      </c>
      <c r="W16" s="17">
        <f t="shared" si="6"/>
        <v>177832.99999999997</v>
      </c>
      <c r="X16" s="29">
        <v>2.4179989090888645</v>
      </c>
      <c r="Y16" s="23">
        <v>41</v>
      </c>
      <c r="Z16" s="17">
        <f t="shared" si="7"/>
        <v>181241.00000000003</v>
      </c>
      <c r="AA16" s="33">
        <f>(41/181241)*10000</f>
        <v>2.262181294519452</v>
      </c>
      <c r="AB16" s="15">
        <v>42</v>
      </c>
      <c r="AC16" s="17">
        <f t="shared" si="8"/>
        <v>183763.99999999997</v>
      </c>
      <c r="AD16" s="49">
        <f>(42/183764)*10000</f>
        <v>2.2855401493219567</v>
      </c>
      <c r="AE16" s="15">
        <v>42</v>
      </c>
      <c r="AF16" s="17">
        <f t="shared" si="9"/>
        <v>184914.00000000003</v>
      </c>
      <c r="AG16" s="50">
        <f>(42/184914)*10000</f>
        <v>2.2713261299847494</v>
      </c>
      <c r="AH16" s="20">
        <v>41</v>
      </c>
      <c r="AI16" s="17">
        <f t="shared" si="10"/>
        <v>186051.99999999997</v>
      </c>
      <c r="AJ16" s="50">
        <f>(41/186052)*10000</f>
        <v>2.203684991292757</v>
      </c>
      <c r="AK16" s="23">
        <v>41</v>
      </c>
      <c r="AL16" s="17">
        <f t="shared" si="11"/>
        <v>187174</v>
      </c>
      <c r="AM16" s="51">
        <f>(41/187174)*10000</f>
        <v>2.1904751728338336</v>
      </c>
      <c r="AN16" s="46">
        <v>41</v>
      </c>
      <c r="AO16" s="47">
        <v>188280</v>
      </c>
      <c r="AP16" s="52">
        <f t="shared" si="12"/>
        <v>2.177607818143191</v>
      </c>
      <c r="AQ16" s="132">
        <v>40</v>
      </c>
      <c r="AR16" s="130">
        <f t="shared" si="13"/>
        <v>189371</v>
      </c>
      <c r="AS16" s="134">
        <v>2.112255836426908</v>
      </c>
      <c r="AT16" s="130">
        <v>41</v>
      </c>
      <c r="AU16" s="126">
        <f t="shared" si="14"/>
        <v>190447</v>
      </c>
      <c r="AV16" s="134">
        <v>2.152829921185422</v>
      </c>
      <c r="AW16" s="169">
        <v>41</v>
      </c>
      <c r="AX16" s="126">
        <v>191508</v>
      </c>
      <c r="AY16" s="134">
        <f t="shared" si="15"/>
        <v>2.1409027299120664</v>
      </c>
      <c r="AZ16" s="169">
        <v>43</v>
      </c>
      <c r="BA16" s="126">
        <v>192554</v>
      </c>
      <c r="BB16" s="134">
        <f t="shared" si="16"/>
        <v>2.233139794551139</v>
      </c>
      <c r="BC16" s="169">
        <v>74</v>
      </c>
      <c r="BD16" s="126">
        <v>193583</v>
      </c>
      <c r="BE16" s="134">
        <f t="shared" si="17"/>
        <v>3.82264971614243</v>
      </c>
      <c r="BF16" s="193">
        <v>73</v>
      </c>
      <c r="BG16" s="126">
        <v>194597</v>
      </c>
      <c r="BH16" s="134">
        <f t="shared" si="18"/>
        <v>3.7513425181272066</v>
      </c>
    </row>
    <row r="17" spans="2:60" ht="14.25">
      <c r="B17" s="91" t="s">
        <v>75</v>
      </c>
      <c r="C17" s="92" t="s">
        <v>24</v>
      </c>
      <c r="D17" s="105" t="s">
        <v>0</v>
      </c>
      <c r="E17" s="95" t="s">
        <v>0</v>
      </c>
      <c r="F17" s="95" t="s">
        <v>0</v>
      </c>
      <c r="G17" s="105" t="s">
        <v>0</v>
      </c>
      <c r="H17" s="95" t="s">
        <v>0</v>
      </c>
      <c r="I17" s="96" t="s">
        <v>0</v>
      </c>
      <c r="J17" s="105" t="s">
        <v>0</v>
      </c>
      <c r="K17" s="95" t="s">
        <v>0</v>
      </c>
      <c r="L17" s="95" t="s">
        <v>0</v>
      </c>
      <c r="M17" s="105" t="s">
        <v>0</v>
      </c>
      <c r="N17" s="95" t="s">
        <v>0</v>
      </c>
      <c r="O17" s="95" t="s">
        <v>0</v>
      </c>
      <c r="P17" s="105" t="s">
        <v>0</v>
      </c>
      <c r="Q17" s="95" t="s">
        <v>0</v>
      </c>
      <c r="R17" s="96" t="s">
        <v>0</v>
      </c>
      <c r="S17" s="105" t="s">
        <v>0</v>
      </c>
      <c r="T17" s="95" t="s">
        <v>0</v>
      </c>
      <c r="U17" s="96" t="s">
        <v>0</v>
      </c>
      <c r="V17" s="105" t="s">
        <v>0</v>
      </c>
      <c r="W17" s="95" t="s">
        <v>0</v>
      </c>
      <c r="X17" s="96" t="s">
        <v>0</v>
      </c>
      <c r="Y17" s="105" t="s">
        <v>0</v>
      </c>
      <c r="Z17" s="95" t="s">
        <v>0</v>
      </c>
      <c r="AA17" s="96" t="s">
        <v>0</v>
      </c>
      <c r="AB17" s="105" t="s">
        <v>0</v>
      </c>
      <c r="AC17" s="95" t="s">
        <v>0</v>
      </c>
      <c r="AD17" s="96" t="s">
        <v>0</v>
      </c>
      <c r="AE17" s="105" t="s">
        <v>0</v>
      </c>
      <c r="AF17" s="95" t="s">
        <v>0</v>
      </c>
      <c r="AG17" s="96" t="s">
        <v>0</v>
      </c>
      <c r="AH17" s="105" t="s">
        <v>0</v>
      </c>
      <c r="AI17" s="95" t="s">
        <v>0</v>
      </c>
      <c r="AJ17" s="96" t="s">
        <v>0</v>
      </c>
      <c r="AK17" s="105" t="s">
        <v>0</v>
      </c>
      <c r="AL17" s="95" t="s">
        <v>0</v>
      </c>
      <c r="AM17" s="95" t="s">
        <v>0</v>
      </c>
      <c r="AN17" s="105" t="s">
        <v>0</v>
      </c>
      <c r="AO17" s="95" t="s">
        <v>0</v>
      </c>
      <c r="AP17" s="106" t="s">
        <v>0</v>
      </c>
      <c r="AQ17" s="139" t="s">
        <v>0</v>
      </c>
      <c r="AR17" s="142" t="s">
        <v>0</v>
      </c>
      <c r="AS17" s="141" t="s">
        <v>0</v>
      </c>
      <c r="AT17" s="142" t="s">
        <v>0</v>
      </c>
      <c r="AU17" s="142" t="s">
        <v>0</v>
      </c>
      <c r="AV17" s="141" t="s">
        <v>0</v>
      </c>
      <c r="AW17" s="110">
        <v>0</v>
      </c>
      <c r="AX17" s="142">
        <v>178670</v>
      </c>
      <c r="AY17" s="141">
        <f t="shared" si="15"/>
        <v>0</v>
      </c>
      <c r="AZ17" s="110">
        <v>0</v>
      </c>
      <c r="BA17" s="142">
        <v>179801</v>
      </c>
      <c r="BB17" s="141">
        <f t="shared" si="16"/>
        <v>0</v>
      </c>
      <c r="BC17" s="110">
        <v>20</v>
      </c>
      <c r="BD17" s="142">
        <v>180914</v>
      </c>
      <c r="BE17" s="141">
        <f t="shared" si="17"/>
        <v>1.1054976397625391</v>
      </c>
      <c r="BF17" s="192">
        <v>0</v>
      </c>
      <c r="BG17" s="142">
        <v>182011</v>
      </c>
      <c r="BH17" s="141">
        <f t="shared" si="18"/>
        <v>0</v>
      </c>
    </row>
    <row r="18" spans="2:60" ht="14.25">
      <c r="B18" s="13" t="s">
        <v>60</v>
      </c>
      <c r="C18" s="90" t="s">
        <v>22</v>
      </c>
      <c r="D18" s="23">
        <v>160</v>
      </c>
      <c r="E18" s="17">
        <f aca="true" t="shared" si="19" ref="E18:E32">D18/F18*10000</f>
        <v>239981</v>
      </c>
      <c r="F18" s="31">
        <v>6.6671944862301595</v>
      </c>
      <c r="G18" s="23">
        <v>180</v>
      </c>
      <c r="H18" s="17">
        <f aca="true" t="shared" si="20" ref="H18:H32">G18/I18*10000</f>
        <v>243513.99999999997</v>
      </c>
      <c r="I18" s="29">
        <v>7.3917721363042785</v>
      </c>
      <c r="J18" s="23">
        <v>203</v>
      </c>
      <c r="K18" s="17">
        <f aca="true" t="shared" si="21" ref="K18:K32">J18/L18*10000</f>
        <v>247136</v>
      </c>
      <c r="L18" s="31">
        <v>8.21410073805516</v>
      </c>
      <c r="M18" s="23">
        <v>174</v>
      </c>
      <c r="N18" s="17">
        <f aca="true" t="shared" si="22" ref="N18:N32">M18/O18*10000</f>
        <v>250941</v>
      </c>
      <c r="O18" s="31">
        <v>6.933900797398591</v>
      </c>
      <c r="P18" s="23">
        <v>174</v>
      </c>
      <c r="Q18" s="17">
        <f aca="true" t="shared" si="23" ref="Q18:Q32">P18/R18*10000</f>
        <v>254872.00000000006</v>
      </c>
      <c r="R18" s="29">
        <v>6.826956276091527</v>
      </c>
      <c r="S18" s="23">
        <v>148</v>
      </c>
      <c r="T18" s="17">
        <f aca="true" t="shared" si="24" ref="T18:T32">S18/U18*10000</f>
        <v>258812</v>
      </c>
      <c r="U18" s="29">
        <v>5.718436548537162</v>
      </c>
      <c r="V18" s="23">
        <v>160</v>
      </c>
      <c r="W18" s="17">
        <f aca="true" t="shared" si="25" ref="W18:W32">V18/X18*10000</f>
        <v>262720</v>
      </c>
      <c r="X18" s="29">
        <v>6.090133982947624</v>
      </c>
      <c r="Y18" s="23">
        <v>144</v>
      </c>
      <c r="Z18" s="17">
        <f aca="true" t="shared" si="26" ref="Z18:Z32">Y18/AA18*10000</f>
        <v>265981</v>
      </c>
      <c r="AA18" s="33">
        <f>(144/265981)*10000</f>
        <v>5.413920543196695</v>
      </c>
      <c r="AB18" s="15">
        <v>154</v>
      </c>
      <c r="AC18" s="17">
        <f aca="true" t="shared" si="27" ref="AC18:AC32">AB18/AD18*10000</f>
        <v>271557</v>
      </c>
      <c r="AD18" s="49">
        <f>(154/271557)*10000</f>
        <v>5.671000931664439</v>
      </c>
      <c r="AE18" s="15">
        <v>157</v>
      </c>
      <c r="AF18" s="17">
        <f aca="true" t="shared" si="28" ref="AF18:AF32">AE18/AG18*10000</f>
        <v>275801</v>
      </c>
      <c r="AG18" s="50">
        <f>(157/275801)*10000</f>
        <v>5.692510179440974</v>
      </c>
      <c r="AH18" s="20">
        <v>160</v>
      </c>
      <c r="AI18" s="17">
        <f aca="true" t="shared" si="29" ref="AI18:AI32">AH18/AJ18*10000</f>
        <v>279999</v>
      </c>
      <c r="AJ18" s="49">
        <f>(160/279999)*10000</f>
        <v>5.714306122521866</v>
      </c>
      <c r="AK18" s="23">
        <v>160</v>
      </c>
      <c r="AL18" s="17">
        <f aca="true" t="shared" si="30" ref="AL18:AL29">AK18/AM18*10000</f>
        <v>284144.99999999994</v>
      </c>
      <c r="AM18" s="51">
        <f>(160/284145)*10000</f>
        <v>5.630927871333299</v>
      </c>
      <c r="AN18" s="46">
        <v>154</v>
      </c>
      <c r="AO18" s="47">
        <v>288228</v>
      </c>
      <c r="AP18" s="52">
        <f aca="true" t="shared" si="31" ref="AP18:AP32">AN18/AO18*10000</f>
        <v>5.3429923532758785</v>
      </c>
      <c r="AQ18" s="132">
        <v>158</v>
      </c>
      <c r="AR18" s="129">
        <f t="shared" si="13"/>
        <v>292304</v>
      </c>
      <c r="AS18" s="133">
        <v>5.405331435765504</v>
      </c>
      <c r="AT18" s="129">
        <v>214</v>
      </c>
      <c r="AU18" s="126">
        <f t="shared" si="14"/>
        <v>296279</v>
      </c>
      <c r="AV18" s="133">
        <v>7.222921638050621</v>
      </c>
      <c r="AW18" s="169">
        <v>219</v>
      </c>
      <c r="AX18" s="126">
        <v>300035</v>
      </c>
      <c r="AY18" s="133">
        <f t="shared" si="15"/>
        <v>7.299148432682854</v>
      </c>
      <c r="AZ18" s="169">
        <v>126</v>
      </c>
      <c r="BA18" s="126">
        <v>303896</v>
      </c>
      <c r="BB18" s="133">
        <f t="shared" si="16"/>
        <v>4.146155263642825</v>
      </c>
      <c r="BC18" s="169">
        <v>264</v>
      </c>
      <c r="BD18" s="126">
        <v>307443</v>
      </c>
      <c r="BE18" s="133">
        <f t="shared" si="17"/>
        <v>8.586957582381125</v>
      </c>
      <c r="BF18" s="193">
        <v>240</v>
      </c>
      <c r="BG18" s="126">
        <v>311187</v>
      </c>
      <c r="BH18" s="133">
        <f t="shared" si="18"/>
        <v>7.712404438488754</v>
      </c>
    </row>
    <row r="19" spans="2:60" s="10" customFormat="1" ht="14.25">
      <c r="B19" s="91" t="s">
        <v>61</v>
      </c>
      <c r="C19" s="92" t="s">
        <v>41</v>
      </c>
      <c r="D19" s="100">
        <v>883</v>
      </c>
      <c r="E19" s="94">
        <f t="shared" si="19"/>
        <v>1301486.0000000002</v>
      </c>
      <c r="F19" s="95">
        <v>6.784552426994988</v>
      </c>
      <c r="G19" s="100">
        <v>881</v>
      </c>
      <c r="H19" s="94">
        <f t="shared" si="20"/>
        <v>1313243</v>
      </c>
      <c r="I19" s="96">
        <v>6.708583255345736</v>
      </c>
      <c r="J19" s="100">
        <v>843</v>
      </c>
      <c r="K19" s="94">
        <f t="shared" si="21"/>
        <v>1325401</v>
      </c>
      <c r="L19" s="95">
        <v>6.360339248272787</v>
      </c>
      <c r="M19" s="100">
        <v>838</v>
      </c>
      <c r="N19" s="94">
        <f t="shared" si="22"/>
        <v>1338385.9999999998</v>
      </c>
      <c r="O19" s="95">
        <v>6.261272906321495</v>
      </c>
      <c r="P19" s="100">
        <v>825</v>
      </c>
      <c r="Q19" s="94">
        <f t="shared" si="23"/>
        <v>1351803</v>
      </c>
      <c r="R19" s="96">
        <v>6.1029602686190225</v>
      </c>
      <c r="S19" s="100">
        <v>814</v>
      </c>
      <c r="T19" s="94">
        <f t="shared" si="24"/>
        <v>1365244.0000000002</v>
      </c>
      <c r="U19" s="96">
        <v>5.962304174198898</v>
      </c>
      <c r="V19" s="100">
        <v>779</v>
      </c>
      <c r="W19" s="94">
        <f t="shared" si="25"/>
        <v>1378562</v>
      </c>
      <c r="X19" s="96">
        <v>5.650815850139494</v>
      </c>
      <c r="Y19" s="100">
        <v>793</v>
      </c>
      <c r="Z19" s="94">
        <f t="shared" si="26"/>
        <v>1775815.9999999998</v>
      </c>
      <c r="AA19" s="96">
        <f>(793/1775816)*10000</f>
        <v>4.465552737445772</v>
      </c>
      <c r="AB19" s="93">
        <v>791</v>
      </c>
      <c r="AC19" s="94">
        <f t="shared" si="27"/>
        <v>1830525.9999999998</v>
      </c>
      <c r="AD19" s="98">
        <f>(791/1830526)*10000</f>
        <v>4.321162332575446</v>
      </c>
      <c r="AE19" s="93">
        <v>793</v>
      </c>
      <c r="AF19" s="94">
        <f t="shared" si="28"/>
        <v>1883251.0000000002</v>
      </c>
      <c r="AG19" s="98">
        <f>(793/1883251)*10000</f>
        <v>4.21080355194289</v>
      </c>
      <c r="AH19" s="99">
        <v>828</v>
      </c>
      <c r="AI19" s="94">
        <f t="shared" si="29"/>
        <v>1935394</v>
      </c>
      <c r="AJ19" s="98">
        <f>(828/1935394)*10000</f>
        <v>4.278198651024029</v>
      </c>
      <c r="AK19" s="100">
        <v>923</v>
      </c>
      <c r="AL19" s="94">
        <f t="shared" si="30"/>
        <v>1986784</v>
      </c>
      <c r="AM19" s="101">
        <f>(923/1986784)*10000</f>
        <v>4.645698777521864</v>
      </c>
      <c r="AN19" s="102">
        <v>946</v>
      </c>
      <c r="AO19" s="103">
        <v>2037428</v>
      </c>
      <c r="AP19" s="104">
        <f t="shared" si="31"/>
        <v>4.643108860779375</v>
      </c>
      <c r="AQ19" s="139">
        <v>931</v>
      </c>
      <c r="AR19" s="144">
        <f t="shared" si="13"/>
        <v>2087359</v>
      </c>
      <c r="AS19" s="143">
        <v>4.460181502079901</v>
      </c>
      <c r="AT19" s="144">
        <v>909</v>
      </c>
      <c r="AU19" s="147">
        <f t="shared" si="14"/>
        <v>2136695</v>
      </c>
      <c r="AV19" s="143">
        <v>4.254233758210694</v>
      </c>
      <c r="AW19" s="110">
        <v>873</v>
      </c>
      <c r="AX19" s="147">
        <v>2185597</v>
      </c>
      <c r="AY19" s="143">
        <f t="shared" si="15"/>
        <v>3.9943319834351896</v>
      </c>
      <c r="AZ19" s="110">
        <v>831</v>
      </c>
      <c r="BA19" s="147">
        <v>2233860</v>
      </c>
      <c r="BB19" s="143">
        <f t="shared" si="16"/>
        <v>3.720018264349601</v>
      </c>
      <c r="BC19" s="110">
        <v>950</v>
      </c>
      <c r="BD19" s="147">
        <v>2281194</v>
      </c>
      <c r="BE19" s="143">
        <f t="shared" si="17"/>
        <v>4.164485791212847</v>
      </c>
      <c r="BF19" s="192">
        <v>976</v>
      </c>
      <c r="BG19" s="147">
        <v>2327874</v>
      </c>
      <c r="BH19" s="143">
        <f t="shared" si="18"/>
        <v>4.192666785229785</v>
      </c>
    </row>
    <row r="20" spans="2:60" ht="14.25">
      <c r="B20" s="13" t="s">
        <v>62</v>
      </c>
      <c r="C20" s="90" t="s">
        <v>26</v>
      </c>
      <c r="D20" s="23">
        <v>484</v>
      </c>
      <c r="E20" s="17">
        <f t="shared" si="19"/>
        <v>464411</v>
      </c>
      <c r="F20" s="31">
        <v>10.421803101132403</v>
      </c>
      <c r="G20" s="23">
        <v>477</v>
      </c>
      <c r="H20" s="17">
        <f t="shared" si="20"/>
        <v>464138</v>
      </c>
      <c r="I20" s="29">
        <v>10.277115857783675</v>
      </c>
      <c r="J20" s="23">
        <v>455</v>
      </c>
      <c r="K20" s="17">
        <f t="shared" si="21"/>
        <v>463857</v>
      </c>
      <c r="L20" s="31">
        <v>9.809057532817226</v>
      </c>
      <c r="M20" s="23">
        <v>462</v>
      </c>
      <c r="N20" s="17">
        <f t="shared" si="22"/>
        <v>463564.00000000006</v>
      </c>
      <c r="O20" s="31">
        <v>9.966261400799025</v>
      </c>
      <c r="P20" s="23">
        <v>460</v>
      </c>
      <c r="Q20" s="17">
        <f t="shared" si="23"/>
        <v>463254</v>
      </c>
      <c r="R20" s="29">
        <v>9.929757757083587</v>
      </c>
      <c r="S20" s="23">
        <v>456</v>
      </c>
      <c r="T20" s="17">
        <f t="shared" si="24"/>
        <v>462953.99999999994</v>
      </c>
      <c r="U20" s="29">
        <v>9.849790691947797</v>
      </c>
      <c r="V20" s="23">
        <v>476</v>
      </c>
      <c r="W20" s="17">
        <f t="shared" si="25"/>
        <v>462643.99999999994</v>
      </c>
      <c r="X20" s="29">
        <v>10.288688494825395</v>
      </c>
      <c r="Y20" s="23">
        <v>464</v>
      </c>
      <c r="Z20" s="17">
        <f t="shared" si="26"/>
        <v>459263.00000000006</v>
      </c>
      <c r="AA20" s="33">
        <f>(464/459263)*10000</f>
        <v>10.103143514718145</v>
      </c>
      <c r="AB20" s="15">
        <v>456</v>
      </c>
      <c r="AC20" s="17">
        <f t="shared" si="27"/>
        <v>463478</v>
      </c>
      <c r="AD20" s="49">
        <f>(456/463478)*10000</f>
        <v>9.838654693426657</v>
      </c>
      <c r="AE20" s="15">
        <v>437</v>
      </c>
      <c r="AF20" s="17">
        <f t="shared" si="28"/>
        <v>463401</v>
      </c>
      <c r="AG20" s="50">
        <f>(437/463401)*10000</f>
        <v>9.430277448689148</v>
      </c>
      <c r="AH20" s="20">
        <v>426</v>
      </c>
      <c r="AI20" s="17">
        <f t="shared" si="29"/>
        <v>463325.00000000006</v>
      </c>
      <c r="AJ20" s="50">
        <f>(426/463325)*10000</f>
        <v>9.194409971402363</v>
      </c>
      <c r="AK20" s="23">
        <v>426</v>
      </c>
      <c r="AL20" s="17">
        <f t="shared" si="30"/>
        <v>463251</v>
      </c>
      <c r="AM20" s="51">
        <f>(426/463251)*10000</f>
        <v>9.195878692112915</v>
      </c>
      <c r="AN20" s="46">
        <v>380.8346759353915</v>
      </c>
      <c r="AO20" s="47">
        <v>463178</v>
      </c>
      <c r="AP20" s="52">
        <f t="shared" si="31"/>
        <v>8.22220994812775</v>
      </c>
      <c r="AQ20" s="132">
        <v>376</v>
      </c>
      <c r="AR20" s="129">
        <f t="shared" si="13"/>
        <v>463106.00000000006</v>
      </c>
      <c r="AS20" s="133">
        <v>8.119091525482286</v>
      </c>
      <c r="AT20" s="129">
        <v>408</v>
      </c>
      <c r="AU20" s="2">
        <f t="shared" si="14"/>
        <v>463034</v>
      </c>
      <c r="AV20" s="133">
        <v>8.811447971423265</v>
      </c>
      <c r="AW20" s="171">
        <v>402</v>
      </c>
      <c r="AX20" s="2">
        <v>462964</v>
      </c>
      <c r="AY20" s="133">
        <f t="shared" si="15"/>
        <v>8.68318054967557</v>
      </c>
      <c r="AZ20" s="171">
        <v>385</v>
      </c>
      <c r="BA20" s="2">
        <v>462895</v>
      </c>
      <c r="BB20" s="133">
        <f t="shared" si="16"/>
        <v>8.317220968038107</v>
      </c>
      <c r="BC20" s="171">
        <v>318</v>
      </c>
      <c r="BD20" s="2">
        <v>462827</v>
      </c>
      <c r="BE20" s="133">
        <f t="shared" si="17"/>
        <v>6.8708178217779</v>
      </c>
      <c r="BF20" s="171">
        <v>369</v>
      </c>
      <c r="BG20" s="2">
        <v>462760</v>
      </c>
      <c r="BH20" s="133">
        <f t="shared" si="18"/>
        <v>7.973895755899386</v>
      </c>
    </row>
    <row r="21" spans="2:60" ht="14.25">
      <c r="B21" s="91" t="s">
        <v>63</v>
      </c>
      <c r="C21" s="92" t="s">
        <v>26</v>
      </c>
      <c r="D21" s="100">
        <v>1293</v>
      </c>
      <c r="E21" s="94">
        <f t="shared" si="19"/>
        <v>609658</v>
      </c>
      <c r="F21" s="95">
        <v>21.208612041505237</v>
      </c>
      <c r="G21" s="100">
        <v>1284</v>
      </c>
      <c r="H21" s="94">
        <f t="shared" si="20"/>
        <v>611999.9999999999</v>
      </c>
      <c r="I21" s="96">
        <v>20.98039215686275</v>
      </c>
      <c r="J21" s="100">
        <v>1266</v>
      </c>
      <c r="K21" s="94">
        <f t="shared" si="21"/>
        <v>614399</v>
      </c>
      <c r="L21" s="95">
        <v>20.60550228760138</v>
      </c>
      <c r="M21" s="100">
        <v>1257</v>
      </c>
      <c r="N21" s="94">
        <f t="shared" si="22"/>
        <v>616921</v>
      </c>
      <c r="O21" s="95">
        <v>20.37538031611827</v>
      </c>
      <c r="P21" s="100">
        <v>1246</v>
      </c>
      <c r="Q21" s="94">
        <f t="shared" si="23"/>
        <v>619526.9999999999</v>
      </c>
      <c r="R21" s="96">
        <v>20.112117793090537</v>
      </c>
      <c r="S21" s="100">
        <v>1276</v>
      </c>
      <c r="T21" s="94">
        <f t="shared" si="24"/>
        <v>622138.0000000001</v>
      </c>
      <c r="U21" s="96">
        <v>20.509919021181794</v>
      </c>
      <c r="V21" s="100">
        <v>1274</v>
      </c>
      <c r="W21" s="94">
        <f t="shared" si="25"/>
        <v>624728.0000000001</v>
      </c>
      <c r="X21" s="96">
        <v>20.392874979190942</v>
      </c>
      <c r="Y21" s="100">
        <v>1285</v>
      </c>
      <c r="Z21" s="94">
        <f t="shared" si="26"/>
        <v>616278.9999999999</v>
      </c>
      <c r="AA21" s="96">
        <f>(1285/616279)*10000</f>
        <v>20.850945756710843</v>
      </c>
      <c r="AB21" s="93">
        <v>1279</v>
      </c>
      <c r="AC21" s="94">
        <f t="shared" si="27"/>
        <v>624289</v>
      </c>
      <c r="AD21" s="98">
        <f>(1279/624289)*10000</f>
        <v>20.48730635971481</v>
      </c>
      <c r="AE21" s="93">
        <v>1281</v>
      </c>
      <c r="AF21" s="94">
        <f t="shared" si="28"/>
        <v>627150</v>
      </c>
      <c r="AG21" s="98">
        <f>(1281/627150)*10000</f>
        <v>20.42573546998326</v>
      </c>
      <c r="AH21" s="99">
        <v>1278</v>
      </c>
      <c r="AI21" s="94">
        <f t="shared" si="29"/>
        <v>630029</v>
      </c>
      <c r="AJ21" s="98">
        <f>(1278/630029)*10000</f>
        <v>20.284780541848075</v>
      </c>
      <c r="AK21" s="100">
        <v>1278</v>
      </c>
      <c r="AL21" s="94">
        <f t="shared" si="30"/>
        <v>632842</v>
      </c>
      <c r="AM21" s="101">
        <f>(1278/632842)*10000</f>
        <v>20.194614137494035</v>
      </c>
      <c r="AN21" s="102">
        <v>1254.0712328767122</v>
      </c>
      <c r="AO21" s="103">
        <v>635593</v>
      </c>
      <c r="AP21" s="104">
        <f t="shared" si="31"/>
        <v>19.730727570579162</v>
      </c>
      <c r="AQ21" s="145">
        <v>1290.8986301369864</v>
      </c>
      <c r="AR21" s="142">
        <f t="shared" si="13"/>
        <v>638286.9999999981</v>
      </c>
      <c r="AS21" s="141">
        <v>20.224423028151758</v>
      </c>
      <c r="AT21" s="142">
        <v>1236</v>
      </c>
      <c r="AU21" s="140">
        <f t="shared" si="14"/>
        <v>640916</v>
      </c>
      <c r="AV21" s="141">
        <v>19.284898489037566</v>
      </c>
      <c r="AW21" s="110">
        <v>1009</v>
      </c>
      <c r="AX21" s="140">
        <v>643437</v>
      </c>
      <c r="AY21" s="141">
        <f t="shared" si="15"/>
        <v>15.681410922903098</v>
      </c>
      <c r="AZ21" s="110">
        <v>1068</v>
      </c>
      <c r="BA21" s="140">
        <v>645880</v>
      </c>
      <c r="BB21" s="141">
        <f t="shared" si="16"/>
        <v>16.53557936458785</v>
      </c>
      <c r="BC21" s="110">
        <v>1040</v>
      </c>
      <c r="BD21" s="140">
        <v>648312</v>
      </c>
      <c r="BE21" s="141">
        <f t="shared" si="17"/>
        <v>16.041658954330632</v>
      </c>
      <c r="BF21" s="192">
        <v>980</v>
      </c>
      <c r="BG21" s="140">
        <v>650678</v>
      </c>
      <c r="BH21" s="141">
        <f t="shared" si="18"/>
        <v>15.061213073132947</v>
      </c>
    </row>
    <row r="22" spans="2:60" ht="14.25">
      <c r="B22" s="13" t="s">
        <v>64</v>
      </c>
      <c r="C22" s="90" t="s">
        <v>22</v>
      </c>
      <c r="D22" s="24">
        <v>349</v>
      </c>
      <c r="E22" s="17">
        <f t="shared" si="19"/>
        <v>302616</v>
      </c>
      <c r="F22" s="31">
        <v>11.532767599862531</v>
      </c>
      <c r="G22" s="24">
        <v>371</v>
      </c>
      <c r="H22" s="17">
        <f t="shared" si="20"/>
        <v>306826</v>
      </c>
      <c r="I22" s="29">
        <v>12.091543741403923</v>
      </c>
      <c r="J22" s="24">
        <v>388</v>
      </c>
      <c r="K22" s="17">
        <f t="shared" si="21"/>
        <v>311142.00000000006</v>
      </c>
      <c r="L22" s="31">
        <v>12.470190459661504</v>
      </c>
      <c r="M22" s="24">
        <v>398</v>
      </c>
      <c r="N22" s="17">
        <f t="shared" si="22"/>
        <v>315675</v>
      </c>
      <c r="O22" s="31">
        <v>12.607903698424012</v>
      </c>
      <c r="P22" s="24">
        <v>501</v>
      </c>
      <c r="Q22" s="17">
        <f t="shared" si="23"/>
        <v>320357.99999999994</v>
      </c>
      <c r="R22" s="29">
        <v>15.638754143801624</v>
      </c>
      <c r="S22" s="24">
        <v>565</v>
      </c>
      <c r="T22" s="17">
        <f t="shared" si="24"/>
        <v>325054</v>
      </c>
      <c r="U22" s="29">
        <v>17.38172734376442</v>
      </c>
      <c r="V22" s="24">
        <v>572</v>
      </c>
      <c r="W22" s="17">
        <f t="shared" si="25"/>
        <v>329711</v>
      </c>
      <c r="X22" s="29">
        <v>17.348526436788582</v>
      </c>
      <c r="Y22" s="24">
        <v>610</v>
      </c>
      <c r="Z22" s="17">
        <f t="shared" si="26"/>
        <v>322375.00000000006</v>
      </c>
      <c r="AA22" s="33">
        <f>(610/322375)*10000</f>
        <v>18.92206281504459</v>
      </c>
      <c r="AB22" s="15">
        <v>616</v>
      </c>
      <c r="AC22" s="17">
        <f t="shared" si="27"/>
        <v>328087</v>
      </c>
      <c r="AD22" s="49">
        <f>(616/328087)*10000</f>
        <v>18.7755077159412</v>
      </c>
      <c r="AE22" s="15">
        <v>775</v>
      </c>
      <c r="AF22" s="17">
        <f t="shared" si="28"/>
        <v>331834</v>
      </c>
      <c r="AG22" s="50">
        <f>(775/331834)*10000</f>
        <v>23.355051019485646</v>
      </c>
      <c r="AH22" s="20">
        <v>827</v>
      </c>
      <c r="AI22" s="17">
        <f t="shared" si="29"/>
        <v>335491</v>
      </c>
      <c r="AJ22" s="50">
        <f>(827/335491)*10000</f>
        <v>24.650437716660058</v>
      </c>
      <c r="AK22" s="24">
        <v>827</v>
      </c>
      <c r="AL22" s="17">
        <f t="shared" si="30"/>
        <v>339152</v>
      </c>
      <c r="AM22" s="51">
        <f>(827/339152)*10000</f>
        <v>24.38434684153418</v>
      </c>
      <c r="AN22" s="46">
        <v>764</v>
      </c>
      <c r="AO22" s="47">
        <v>342798</v>
      </c>
      <c r="AP22" s="52">
        <f t="shared" si="31"/>
        <v>22.28717787151617</v>
      </c>
      <c r="AQ22" s="128">
        <v>763</v>
      </c>
      <c r="AR22" s="129">
        <f t="shared" si="13"/>
        <v>346406</v>
      </c>
      <c r="AS22" s="133">
        <v>22.02617737568056</v>
      </c>
      <c r="AT22" s="129">
        <v>721</v>
      </c>
      <c r="AU22" s="2">
        <f t="shared" si="14"/>
        <v>349867</v>
      </c>
      <c r="AV22" s="133">
        <v>20.607830975770792</v>
      </c>
      <c r="AW22" s="169">
        <v>730</v>
      </c>
      <c r="AX22" s="2">
        <v>353281</v>
      </c>
      <c r="AY22" s="133">
        <f t="shared" si="15"/>
        <v>20.663437886554895</v>
      </c>
      <c r="AZ22" s="169">
        <v>742</v>
      </c>
      <c r="BA22" s="2">
        <v>356643</v>
      </c>
      <c r="BB22" s="133">
        <f t="shared" si="16"/>
        <v>20.80511884433453</v>
      </c>
      <c r="BC22" s="169">
        <v>768</v>
      </c>
      <c r="BD22" s="2">
        <v>359953</v>
      </c>
      <c r="BE22" s="133">
        <f t="shared" si="17"/>
        <v>21.336118882187396</v>
      </c>
      <c r="BF22" s="193">
        <v>823</v>
      </c>
      <c r="BG22" s="2">
        <v>363263</v>
      </c>
      <c r="BH22" s="133">
        <f t="shared" si="18"/>
        <v>22.655761803431673</v>
      </c>
    </row>
    <row r="23" spans="2:60" ht="14.25">
      <c r="B23" s="91" t="s">
        <v>65</v>
      </c>
      <c r="C23" s="92" t="s">
        <v>24</v>
      </c>
      <c r="D23" s="100">
        <v>366</v>
      </c>
      <c r="E23" s="94">
        <f t="shared" si="19"/>
        <v>492121</v>
      </c>
      <c r="F23" s="95">
        <v>7.43719532391424</v>
      </c>
      <c r="G23" s="100">
        <v>397</v>
      </c>
      <c r="H23" s="94">
        <f t="shared" si="20"/>
        <v>498762</v>
      </c>
      <c r="I23" s="96">
        <v>7.959708237596288</v>
      </c>
      <c r="J23" s="100">
        <v>425</v>
      </c>
      <c r="K23" s="94">
        <f t="shared" si="21"/>
        <v>505603</v>
      </c>
      <c r="L23" s="95">
        <v>8.405804554166016</v>
      </c>
      <c r="M23" s="100">
        <v>427</v>
      </c>
      <c r="N23" s="94">
        <f t="shared" si="22"/>
        <v>512874.99999999994</v>
      </c>
      <c r="O23" s="95">
        <v>8.325615403363393</v>
      </c>
      <c r="P23" s="100">
        <v>464</v>
      </c>
      <c r="Q23" s="94">
        <f t="shared" si="23"/>
        <v>520391.00000000006</v>
      </c>
      <c r="R23" s="96">
        <v>8.91637249683411</v>
      </c>
      <c r="S23" s="100">
        <v>457</v>
      </c>
      <c r="T23" s="94">
        <f t="shared" si="24"/>
        <v>527923</v>
      </c>
      <c r="U23" s="96">
        <v>8.656565446097252</v>
      </c>
      <c r="V23" s="100">
        <v>489</v>
      </c>
      <c r="W23" s="94">
        <f t="shared" si="25"/>
        <v>535389</v>
      </c>
      <c r="X23" s="96">
        <v>9.13354588906384</v>
      </c>
      <c r="Y23" s="100">
        <v>495</v>
      </c>
      <c r="Z23" s="94">
        <f t="shared" si="26"/>
        <v>528494</v>
      </c>
      <c r="AA23" s="96">
        <f>(495/528494)*10000</f>
        <v>9.366236891998774</v>
      </c>
      <c r="AB23" s="93">
        <v>502</v>
      </c>
      <c r="AC23" s="94">
        <f t="shared" si="27"/>
        <v>539009.0000000001</v>
      </c>
      <c r="AD23" s="98">
        <f>(502/539009)*10000</f>
        <v>9.31338808813953</v>
      </c>
      <c r="AE23" s="93">
        <v>525</v>
      </c>
      <c r="AF23" s="94">
        <f t="shared" si="28"/>
        <v>546383</v>
      </c>
      <c r="AG23" s="98">
        <f>(525/546383)*10000</f>
        <v>9.608644485644685</v>
      </c>
      <c r="AH23" s="99">
        <v>471</v>
      </c>
      <c r="AI23" s="94">
        <f t="shared" si="29"/>
        <v>554007</v>
      </c>
      <c r="AJ23" s="98">
        <f>(471/554007)*10000</f>
        <v>8.501697631979379</v>
      </c>
      <c r="AK23" s="100">
        <v>471</v>
      </c>
      <c r="AL23" s="94">
        <f t="shared" si="30"/>
        <v>561566</v>
      </c>
      <c r="AM23" s="101">
        <f>(471/561566)*10000</f>
        <v>8.387259912459088</v>
      </c>
      <c r="AN23" s="102">
        <v>549</v>
      </c>
      <c r="AO23" s="103">
        <v>569165</v>
      </c>
      <c r="AP23" s="104">
        <f t="shared" si="31"/>
        <v>9.645709065033866</v>
      </c>
      <c r="AQ23" s="145">
        <v>544</v>
      </c>
      <c r="AR23" s="142">
        <f t="shared" si="13"/>
        <v>576737</v>
      </c>
      <c r="AS23" s="141">
        <v>9.432375588873265</v>
      </c>
      <c r="AT23" s="142">
        <v>571</v>
      </c>
      <c r="AU23" s="140">
        <f t="shared" si="14"/>
        <v>584267.0000000001</v>
      </c>
      <c r="AV23" s="141">
        <v>9.772929157388658</v>
      </c>
      <c r="AW23" s="110">
        <v>568</v>
      </c>
      <c r="AX23" s="140">
        <v>591763</v>
      </c>
      <c r="AY23" s="141">
        <f t="shared" si="15"/>
        <v>9.598437212194748</v>
      </c>
      <c r="AZ23" s="110">
        <v>490</v>
      </c>
      <c r="BA23" s="140">
        <v>599119</v>
      </c>
      <c r="BB23" s="141">
        <f t="shared" si="16"/>
        <v>8.17867568880306</v>
      </c>
      <c r="BC23" s="110">
        <v>555</v>
      </c>
      <c r="BD23" s="140">
        <v>606413</v>
      </c>
      <c r="BE23" s="141">
        <f t="shared" si="17"/>
        <v>9.152178465831042</v>
      </c>
      <c r="BF23" s="192">
        <v>575</v>
      </c>
      <c r="BG23" s="140">
        <v>613509</v>
      </c>
      <c r="BH23" s="141">
        <f t="shared" si="18"/>
        <v>9.372315646551233</v>
      </c>
    </row>
    <row r="24" spans="2:60" ht="14.25">
      <c r="B24" s="13" t="s">
        <v>66</v>
      </c>
      <c r="C24" s="90" t="s">
        <v>24</v>
      </c>
      <c r="D24" s="23">
        <v>184</v>
      </c>
      <c r="E24" s="17">
        <f t="shared" si="19"/>
        <v>402517</v>
      </c>
      <c r="F24" s="31">
        <v>4.571235500612397</v>
      </c>
      <c r="G24" s="23">
        <v>187</v>
      </c>
      <c r="H24" s="17">
        <f t="shared" si="20"/>
        <v>410068</v>
      </c>
      <c r="I24" s="29">
        <v>4.560219280704664</v>
      </c>
      <c r="J24" s="23">
        <v>187</v>
      </c>
      <c r="K24" s="17">
        <f t="shared" si="21"/>
        <v>417834.99999999994</v>
      </c>
      <c r="L24" s="31">
        <v>4.475450835856259</v>
      </c>
      <c r="M24" s="23">
        <v>191</v>
      </c>
      <c r="N24" s="17">
        <f t="shared" si="22"/>
        <v>426064.99999999994</v>
      </c>
      <c r="O24" s="31">
        <v>4.4828840669850845</v>
      </c>
      <c r="P24" s="23">
        <v>191</v>
      </c>
      <c r="Q24" s="17">
        <f t="shared" si="23"/>
        <v>434572</v>
      </c>
      <c r="R24" s="29">
        <v>4.395129000487836</v>
      </c>
      <c r="S24" s="23">
        <v>189</v>
      </c>
      <c r="T24" s="17">
        <f t="shared" si="24"/>
        <v>443096.00000000006</v>
      </c>
      <c r="U24" s="29">
        <v>4.2654413490530265</v>
      </c>
      <c r="V24" s="23">
        <v>188</v>
      </c>
      <c r="W24" s="17">
        <f t="shared" si="25"/>
        <v>451549</v>
      </c>
      <c r="X24" s="29">
        <v>4.163446270504419</v>
      </c>
      <c r="Y24" s="23">
        <v>192</v>
      </c>
      <c r="Z24" s="17">
        <f t="shared" si="26"/>
        <v>452505</v>
      </c>
      <c r="AA24" s="33">
        <f>(192/452505)*10000</f>
        <v>4.243047038154274</v>
      </c>
      <c r="AB24" s="15">
        <v>194</v>
      </c>
      <c r="AC24" s="17">
        <f t="shared" si="27"/>
        <v>463151</v>
      </c>
      <c r="AD24" s="49">
        <f>(194/463151)*10000</f>
        <v>4.188698718128645</v>
      </c>
      <c r="AE24" s="15">
        <v>191</v>
      </c>
      <c r="AF24" s="17">
        <f t="shared" si="28"/>
        <v>472015</v>
      </c>
      <c r="AG24" s="50">
        <f>(191/472015)*10000</f>
        <v>4.046481573678802</v>
      </c>
      <c r="AH24" s="20">
        <v>188</v>
      </c>
      <c r="AI24" s="17">
        <f t="shared" si="29"/>
        <v>481041</v>
      </c>
      <c r="AJ24" s="50">
        <f>(188/481041)*10000</f>
        <v>3.908190777917059</v>
      </c>
      <c r="AK24" s="23">
        <v>205</v>
      </c>
      <c r="AL24" s="17">
        <f t="shared" si="30"/>
        <v>489912.00000000006</v>
      </c>
      <c r="AM24" s="51">
        <f>(205/489912)*10000</f>
        <v>4.184424957951632</v>
      </c>
      <c r="AN24" s="46">
        <v>215.027397260274</v>
      </c>
      <c r="AO24" s="47">
        <v>498713</v>
      </c>
      <c r="AP24" s="52">
        <f t="shared" si="31"/>
        <v>4.311646122324343</v>
      </c>
      <c r="AQ24" s="128">
        <v>218.58630136986304</v>
      </c>
      <c r="AR24" s="129">
        <f t="shared" si="13"/>
        <v>507403.00000000006</v>
      </c>
      <c r="AS24" s="133">
        <v>4.307942628834733</v>
      </c>
      <c r="AT24" s="129">
        <v>218</v>
      </c>
      <c r="AU24" s="2">
        <f t="shared" si="14"/>
        <v>516093</v>
      </c>
      <c r="AV24" s="133">
        <v>4.224044891133962</v>
      </c>
      <c r="AW24" s="169">
        <v>223</v>
      </c>
      <c r="AX24" s="2">
        <v>524675</v>
      </c>
      <c r="AY24" s="133">
        <f t="shared" si="15"/>
        <v>4.250250154857769</v>
      </c>
      <c r="AZ24" s="169">
        <v>231</v>
      </c>
      <c r="BA24" s="2">
        <v>533292</v>
      </c>
      <c r="BB24" s="133">
        <f t="shared" si="16"/>
        <v>4.331585697891587</v>
      </c>
      <c r="BC24" s="169">
        <v>303</v>
      </c>
      <c r="BD24" s="2">
        <v>541691</v>
      </c>
      <c r="BE24" s="133">
        <f t="shared" si="17"/>
        <v>5.593594872353426</v>
      </c>
      <c r="BF24" s="193">
        <v>253</v>
      </c>
      <c r="BG24" s="2">
        <v>549930</v>
      </c>
      <c r="BH24" s="133">
        <f t="shared" si="18"/>
        <v>4.600585529067335</v>
      </c>
    </row>
    <row r="25" spans="2:60" ht="14.25">
      <c r="B25" s="91" t="s">
        <v>67</v>
      </c>
      <c r="C25" s="92" t="s">
        <v>24</v>
      </c>
      <c r="D25" s="100">
        <v>837</v>
      </c>
      <c r="E25" s="94">
        <f t="shared" si="19"/>
        <v>329319</v>
      </c>
      <c r="F25" s="95">
        <v>25.416085922767895</v>
      </c>
      <c r="G25" s="100">
        <v>885</v>
      </c>
      <c r="H25" s="94">
        <f t="shared" si="20"/>
        <v>328992</v>
      </c>
      <c r="I25" s="96">
        <v>26.900350160490223</v>
      </c>
      <c r="J25" s="100">
        <v>910</v>
      </c>
      <c r="K25" s="94">
        <f t="shared" si="21"/>
        <v>328655</v>
      </c>
      <c r="L25" s="95">
        <v>27.688609636244696</v>
      </c>
      <c r="M25" s="100">
        <v>886</v>
      </c>
      <c r="N25" s="94">
        <f t="shared" si="22"/>
        <v>328301</v>
      </c>
      <c r="O25" s="95">
        <v>26.987429218918003</v>
      </c>
      <c r="P25" s="100">
        <v>845</v>
      </c>
      <c r="Q25" s="94">
        <f t="shared" si="23"/>
        <v>327935</v>
      </c>
      <c r="R25" s="96">
        <v>25.767301446933082</v>
      </c>
      <c r="S25" s="100">
        <v>831</v>
      </c>
      <c r="T25" s="94">
        <f t="shared" si="24"/>
        <v>327568.00000000006</v>
      </c>
      <c r="U25" s="96">
        <v>25.368778391051627</v>
      </c>
      <c r="V25" s="100">
        <v>700</v>
      </c>
      <c r="W25" s="94">
        <f t="shared" si="25"/>
        <v>327204</v>
      </c>
      <c r="X25" s="96">
        <v>21.39338149900368</v>
      </c>
      <c r="Y25" s="100">
        <v>802</v>
      </c>
      <c r="Z25" s="94">
        <f t="shared" si="26"/>
        <v>321109</v>
      </c>
      <c r="AA25" s="96">
        <f>(802/321109)*10000</f>
        <v>24.975942748412532</v>
      </c>
      <c r="AB25" s="93">
        <v>785</v>
      </c>
      <c r="AC25" s="94">
        <f t="shared" si="27"/>
        <v>323680</v>
      </c>
      <c r="AD25" s="98">
        <f>(785/323680)*10000</f>
        <v>24.25234799802274</v>
      </c>
      <c r="AE25" s="93">
        <v>820</v>
      </c>
      <c r="AF25" s="94">
        <f t="shared" si="28"/>
        <v>323076</v>
      </c>
      <c r="AG25" s="98">
        <f>(820/323076)*10000</f>
        <v>25.381024898166377</v>
      </c>
      <c r="AH25" s="99">
        <v>793</v>
      </c>
      <c r="AI25" s="94">
        <f t="shared" si="29"/>
        <v>322489</v>
      </c>
      <c r="AJ25" s="98">
        <f>(793/322489)*10000</f>
        <v>24.58998601502687</v>
      </c>
      <c r="AK25" s="100">
        <v>793</v>
      </c>
      <c r="AL25" s="94">
        <f t="shared" si="30"/>
        <v>321920</v>
      </c>
      <c r="AM25" s="101">
        <f>(793/321920)*10000</f>
        <v>24.63344930417495</v>
      </c>
      <c r="AN25" s="102">
        <v>803</v>
      </c>
      <c r="AO25" s="103">
        <v>321351</v>
      </c>
      <c r="AP25" s="104">
        <f t="shared" si="31"/>
        <v>24.988252720545447</v>
      </c>
      <c r="AQ25" s="145">
        <v>773</v>
      </c>
      <c r="AR25" s="142">
        <f t="shared" si="13"/>
        <v>320781</v>
      </c>
      <c r="AS25" s="141">
        <v>24.097437192352416</v>
      </c>
      <c r="AT25" s="142">
        <v>809</v>
      </c>
      <c r="AU25" s="140">
        <f t="shared" si="14"/>
        <v>320218</v>
      </c>
      <c r="AV25" s="141">
        <v>25.264038873517414</v>
      </c>
      <c r="AW25" s="110">
        <v>804</v>
      </c>
      <c r="AX25" s="140">
        <v>319674</v>
      </c>
      <c r="AY25" s="141">
        <f t="shared" si="15"/>
        <v>25.150622196362544</v>
      </c>
      <c r="AZ25" s="110">
        <v>801</v>
      </c>
      <c r="BA25" s="140">
        <v>319138</v>
      </c>
      <c r="BB25" s="141">
        <f t="shared" si="16"/>
        <v>25.098860054271192</v>
      </c>
      <c r="BC25" s="110">
        <v>801</v>
      </c>
      <c r="BD25" s="140">
        <v>318632</v>
      </c>
      <c r="BE25" s="141">
        <f t="shared" si="17"/>
        <v>25.138718019533506</v>
      </c>
      <c r="BF25" s="192">
        <v>830</v>
      </c>
      <c r="BG25" s="140">
        <v>318104</v>
      </c>
      <c r="BH25" s="141">
        <f t="shared" si="18"/>
        <v>26.092095666825944</v>
      </c>
    </row>
    <row r="26" spans="2:60" ht="14.25">
      <c r="B26" s="13" t="s">
        <v>68</v>
      </c>
      <c r="C26" s="90" t="s">
        <v>26</v>
      </c>
      <c r="D26" s="23">
        <v>222</v>
      </c>
      <c r="E26" s="17">
        <f t="shared" si="19"/>
        <v>536779</v>
      </c>
      <c r="F26" s="31">
        <v>4.135780274563647</v>
      </c>
      <c r="G26" s="23">
        <v>226</v>
      </c>
      <c r="H26" s="17">
        <f t="shared" si="20"/>
        <v>538398.9999999999</v>
      </c>
      <c r="I26" s="29">
        <v>4.1976303819286445</v>
      </c>
      <c r="J26" s="23">
        <v>226</v>
      </c>
      <c r="K26" s="17">
        <f t="shared" si="21"/>
        <v>540099</v>
      </c>
      <c r="L26" s="31">
        <v>4.184418041877508</v>
      </c>
      <c r="M26" s="23">
        <v>221</v>
      </c>
      <c r="N26" s="17">
        <f t="shared" si="22"/>
        <v>541972.0000000001</v>
      </c>
      <c r="O26" s="31">
        <v>4.077701431070239</v>
      </c>
      <c r="P26" s="23">
        <v>230</v>
      </c>
      <c r="Q26" s="17">
        <f t="shared" si="23"/>
        <v>543908</v>
      </c>
      <c r="R26" s="29">
        <v>4.228656316877119</v>
      </c>
      <c r="S26" s="23">
        <v>220</v>
      </c>
      <c r="T26" s="17">
        <f t="shared" si="24"/>
        <v>545846</v>
      </c>
      <c r="U26" s="29">
        <v>4.030440820304628</v>
      </c>
      <c r="V26" s="23">
        <v>227</v>
      </c>
      <c r="W26" s="17">
        <f t="shared" si="25"/>
        <v>547760</v>
      </c>
      <c r="X26" s="29">
        <v>4.144150722944356</v>
      </c>
      <c r="Y26" s="23">
        <v>230</v>
      </c>
      <c r="Z26" s="17">
        <f t="shared" si="26"/>
        <v>582942.9999999999</v>
      </c>
      <c r="AA26" s="33">
        <f>(230/582943)*10000</f>
        <v>3.945497244155947</v>
      </c>
      <c r="AB26" s="15">
        <v>245</v>
      </c>
      <c r="AC26" s="17">
        <f t="shared" si="27"/>
        <v>594412</v>
      </c>
      <c r="AD26" s="49">
        <f>(245/594412)*10000</f>
        <v>4.121720288284894</v>
      </c>
      <c r="AE26" s="15">
        <v>244</v>
      </c>
      <c r="AF26" s="17">
        <f t="shared" si="28"/>
        <v>602435.9999999999</v>
      </c>
      <c r="AG26" s="50">
        <f>(244/602436)*10000</f>
        <v>4.0502227622519245</v>
      </c>
      <c r="AH26" s="20">
        <v>244</v>
      </c>
      <c r="AI26" s="17">
        <f t="shared" si="29"/>
        <v>610259</v>
      </c>
      <c r="AJ26" s="50">
        <f>(244/610259)*10000</f>
        <v>3.9983023601454466</v>
      </c>
      <c r="AK26" s="23">
        <v>244</v>
      </c>
      <c r="AL26" s="17">
        <f t="shared" si="30"/>
        <v>618106</v>
      </c>
      <c r="AM26" s="51">
        <f>(244/618106)*10000</f>
        <v>3.947542978065251</v>
      </c>
      <c r="AN26" s="46">
        <v>239.70958904109588</v>
      </c>
      <c r="AO26" s="47">
        <v>626006</v>
      </c>
      <c r="AP26" s="52">
        <f t="shared" si="31"/>
        <v>3.829189960497118</v>
      </c>
      <c r="AQ26" s="128">
        <v>229.27945205479452</v>
      </c>
      <c r="AR26" s="129">
        <f t="shared" si="13"/>
        <v>633912.9999999986</v>
      </c>
      <c r="AS26" s="133">
        <v>3.616891467043506</v>
      </c>
      <c r="AT26" s="129">
        <v>230</v>
      </c>
      <c r="AU26" s="2">
        <f t="shared" si="14"/>
        <v>641742</v>
      </c>
      <c r="AV26" s="133">
        <v>3.58399481411533</v>
      </c>
      <c r="AW26" s="169">
        <v>231</v>
      </c>
      <c r="AX26" s="2">
        <v>649480</v>
      </c>
      <c r="AY26" s="133">
        <f t="shared" si="15"/>
        <v>3.5566915070517955</v>
      </c>
      <c r="AZ26" s="169">
        <v>229</v>
      </c>
      <c r="BA26" s="2">
        <v>657123</v>
      </c>
      <c r="BB26" s="133">
        <f t="shared" si="16"/>
        <v>3.4848879129173684</v>
      </c>
      <c r="BC26" s="169">
        <v>254</v>
      </c>
      <c r="BD26" s="2">
        <v>664783</v>
      </c>
      <c r="BE26" s="133">
        <f t="shared" si="17"/>
        <v>3.820795658132052</v>
      </c>
      <c r="BF26" s="193">
        <v>284</v>
      </c>
      <c r="BG26" s="2">
        <v>672199</v>
      </c>
      <c r="BH26" s="133">
        <f t="shared" si="18"/>
        <v>4.224939340879709</v>
      </c>
    </row>
    <row r="27" spans="2:60" ht="14.25">
      <c r="B27" s="91" t="s">
        <v>69</v>
      </c>
      <c r="C27" s="92" t="s">
        <v>22</v>
      </c>
      <c r="D27" s="100">
        <v>204</v>
      </c>
      <c r="E27" s="94">
        <f t="shared" si="19"/>
        <v>157455</v>
      </c>
      <c r="F27" s="107">
        <v>12.956082690292465</v>
      </c>
      <c r="G27" s="100">
        <v>206</v>
      </c>
      <c r="H27" s="94">
        <f t="shared" si="20"/>
        <v>158298</v>
      </c>
      <c r="I27" s="108">
        <v>13.013430365513146</v>
      </c>
      <c r="J27" s="100">
        <v>206</v>
      </c>
      <c r="K27" s="94">
        <f t="shared" si="21"/>
        <v>159161</v>
      </c>
      <c r="L27" s="107">
        <v>12.942869170211296</v>
      </c>
      <c r="M27" s="100">
        <v>210</v>
      </c>
      <c r="N27" s="94">
        <f t="shared" si="22"/>
        <v>160068.99999999997</v>
      </c>
      <c r="O27" s="107">
        <v>13.119342283640181</v>
      </c>
      <c r="P27" s="100">
        <v>213</v>
      </c>
      <c r="Q27" s="94">
        <f t="shared" si="23"/>
        <v>161006</v>
      </c>
      <c r="R27" s="108">
        <v>13.229320646435538</v>
      </c>
      <c r="S27" s="100">
        <v>212</v>
      </c>
      <c r="T27" s="94">
        <f t="shared" si="24"/>
        <v>161945</v>
      </c>
      <c r="U27" s="108">
        <v>13.090864182284108</v>
      </c>
      <c r="V27" s="100">
        <v>196</v>
      </c>
      <c r="W27" s="94">
        <f t="shared" si="25"/>
        <v>162877</v>
      </c>
      <c r="X27" s="108">
        <v>12.033620462066468</v>
      </c>
      <c r="Y27" s="100">
        <v>198</v>
      </c>
      <c r="Z27" s="94">
        <f t="shared" si="26"/>
        <v>163239.99999999997</v>
      </c>
      <c r="AA27" s="96">
        <f>(198/163240)*10000</f>
        <v>12.129380053908356</v>
      </c>
      <c r="AB27" s="93">
        <v>194</v>
      </c>
      <c r="AC27" s="94">
        <f t="shared" si="27"/>
        <v>165554</v>
      </c>
      <c r="AD27" s="98">
        <f>(194/165554)*10000</f>
        <v>11.71823090955217</v>
      </c>
      <c r="AE27" s="93">
        <v>200</v>
      </c>
      <c r="AF27" s="94">
        <f t="shared" si="28"/>
        <v>166646</v>
      </c>
      <c r="AG27" s="98">
        <f>(200/166646)*10000</f>
        <v>12.001488184534882</v>
      </c>
      <c r="AH27" s="99">
        <v>192</v>
      </c>
      <c r="AI27" s="94">
        <f t="shared" si="29"/>
        <v>167726</v>
      </c>
      <c r="AJ27" s="98">
        <f>(192/167726)*10000</f>
        <v>11.447241334080584</v>
      </c>
      <c r="AK27" s="109">
        <v>192</v>
      </c>
      <c r="AL27" s="94">
        <f t="shared" si="30"/>
        <v>168793</v>
      </c>
      <c r="AM27" s="101">
        <f>(192/168793)*10000</f>
        <v>11.374879290017951</v>
      </c>
      <c r="AN27" s="110">
        <v>197</v>
      </c>
      <c r="AO27" s="103">
        <v>169844</v>
      </c>
      <c r="AP27" s="104">
        <f t="shared" si="31"/>
        <v>11.598878971291303</v>
      </c>
      <c r="AQ27" s="145">
        <v>193</v>
      </c>
      <c r="AR27" s="142">
        <f t="shared" si="13"/>
        <v>170880</v>
      </c>
      <c r="AS27" s="141">
        <v>11.29447565543071</v>
      </c>
      <c r="AT27" s="142">
        <v>191</v>
      </c>
      <c r="AU27" s="140">
        <f t="shared" si="14"/>
        <v>171902</v>
      </c>
      <c r="AV27" s="141">
        <v>11.110981838489371</v>
      </c>
      <c r="AW27" s="110">
        <v>193</v>
      </c>
      <c r="AX27" s="140">
        <v>172911</v>
      </c>
      <c r="AY27" s="141">
        <f t="shared" si="15"/>
        <v>11.161811567800775</v>
      </c>
      <c r="AZ27" s="110">
        <v>234</v>
      </c>
      <c r="BA27" s="140">
        <v>173904</v>
      </c>
      <c r="BB27" s="141">
        <f t="shared" si="16"/>
        <v>13.455699696384212</v>
      </c>
      <c r="BC27" s="110">
        <v>259</v>
      </c>
      <c r="BD27" s="140">
        <v>174883</v>
      </c>
      <c r="BE27" s="141">
        <f t="shared" si="17"/>
        <v>14.809901476987472</v>
      </c>
      <c r="BF27" s="192">
        <v>257</v>
      </c>
      <c r="BG27" s="140">
        <v>175845</v>
      </c>
      <c r="BH27" s="141">
        <f t="shared" si="18"/>
        <v>14.615144018880263</v>
      </c>
    </row>
    <row r="28" spans="2:60" ht="14.25">
      <c r="B28" s="13" t="s">
        <v>70</v>
      </c>
      <c r="C28" s="90" t="s">
        <v>22</v>
      </c>
      <c r="D28" s="23">
        <v>312</v>
      </c>
      <c r="E28" s="17">
        <f t="shared" si="19"/>
        <v>305381</v>
      </c>
      <c r="F28" s="31">
        <v>10.216745639054166</v>
      </c>
      <c r="G28" s="23">
        <v>333</v>
      </c>
      <c r="H28" s="17">
        <f t="shared" si="20"/>
        <v>305806.00000000006</v>
      </c>
      <c r="I28" s="29">
        <v>10.889256587509728</v>
      </c>
      <c r="J28" s="23">
        <v>339</v>
      </c>
      <c r="K28" s="17">
        <f t="shared" si="21"/>
        <v>306239</v>
      </c>
      <c r="L28" s="31">
        <v>11.069785363719186</v>
      </c>
      <c r="M28" s="23">
        <v>339</v>
      </c>
      <c r="N28" s="17">
        <f t="shared" si="22"/>
        <v>306695</v>
      </c>
      <c r="O28" s="31">
        <v>11.053326594825478</v>
      </c>
      <c r="P28" s="23">
        <v>337</v>
      </c>
      <c r="Q28" s="17">
        <f t="shared" si="23"/>
        <v>307165.00000000006</v>
      </c>
      <c r="R28" s="29">
        <v>10.971302068920611</v>
      </c>
      <c r="S28" s="23">
        <v>339</v>
      </c>
      <c r="T28" s="17">
        <f t="shared" si="24"/>
        <v>307637</v>
      </c>
      <c r="U28" s="29">
        <v>11.019480751665112</v>
      </c>
      <c r="V28" s="23">
        <v>340</v>
      </c>
      <c r="W28" s="17">
        <f t="shared" si="25"/>
        <v>308103</v>
      </c>
      <c r="X28" s="29">
        <v>11.03527067246992</v>
      </c>
      <c r="Y28" s="23">
        <v>378</v>
      </c>
      <c r="Z28" s="17">
        <f t="shared" si="26"/>
        <v>292878</v>
      </c>
      <c r="AA28" s="33">
        <f>(378/292878)*10000</f>
        <v>12.906397885809108</v>
      </c>
      <c r="AB28" s="15">
        <v>372</v>
      </c>
      <c r="AC28" s="17">
        <f t="shared" si="27"/>
        <v>295428</v>
      </c>
      <c r="AD28" s="49">
        <f>(372/295428)*10000</f>
        <v>12.591900564604574</v>
      </c>
      <c r="AE28" s="15">
        <v>373</v>
      </c>
      <c r="AF28" s="17">
        <f t="shared" si="28"/>
        <v>294992</v>
      </c>
      <c r="AG28" s="50">
        <f>(373/294992)*10000</f>
        <v>12.644410695883277</v>
      </c>
      <c r="AH28" s="20">
        <v>378</v>
      </c>
      <c r="AI28" s="17">
        <f t="shared" si="29"/>
        <v>294597</v>
      </c>
      <c r="AJ28" s="50">
        <f>(378/294597)*10000</f>
        <v>12.831087892952066</v>
      </c>
      <c r="AK28" s="15">
        <v>378</v>
      </c>
      <c r="AL28" s="17">
        <f t="shared" si="30"/>
        <v>294215</v>
      </c>
      <c r="AM28" s="51">
        <f>(378/294215)*10000</f>
        <v>12.847747395612053</v>
      </c>
      <c r="AN28" s="46">
        <v>378</v>
      </c>
      <c r="AO28" s="47">
        <v>293848</v>
      </c>
      <c r="AP28" s="53">
        <f t="shared" si="31"/>
        <v>12.86379352590455</v>
      </c>
      <c r="AQ28" s="132">
        <v>398</v>
      </c>
      <c r="AR28" s="129">
        <f t="shared" si="13"/>
        <v>293496</v>
      </c>
      <c r="AS28" s="133">
        <v>13.560661814811786</v>
      </c>
      <c r="AT28" s="129">
        <v>390</v>
      </c>
      <c r="AU28" s="2">
        <f t="shared" si="14"/>
        <v>293157</v>
      </c>
      <c r="AV28" s="133">
        <v>13.303451734053766</v>
      </c>
      <c r="AW28" s="169">
        <v>381</v>
      </c>
      <c r="AX28" s="2">
        <v>292831</v>
      </c>
      <c r="AY28" s="133">
        <f t="shared" si="15"/>
        <v>13.010917559957791</v>
      </c>
      <c r="AZ28" s="169">
        <v>392</v>
      </c>
      <c r="BA28" s="2">
        <v>292520</v>
      </c>
      <c r="BB28" s="133">
        <f t="shared" si="16"/>
        <v>13.400793108163544</v>
      </c>
      <c r="BC28" s="169">
        <v>392</v>
      </c>
      <c r="BD28" s="2">
        <v>292224</v>
      </c>
      <c r="BE28" s="133">
        <f t="shared" si="17"/>
        <v>13.414367060884802</v>
      </c>
      <c r="BF28" s="193">
        <v>393</v>
      </c>
      <c r="BG28" s="2">
        <v>291963</v>
      </c>
      <c r="BH28" s="133">
        <f t="shared" si="18"/>
        <v>13.460609734795163</v>
      </c>
    </row>
    <row r="29" spans="2:60" s="9" customFormat="1" ht="14.25">
      <c r="B29" s="91" t="s">
        <v>71</v>
      </c>
      <c r="C29" s="92" t="s">
        <v>22</v>
      </c>
      <c r="D29" s="93">
        <v>212</v>
      </c>
      <c r="E29" s="94">
        <f t="shared" si="19"/>
        <v>262921</v>
      </c>
      <c r="F29" s="95">
        <v>8.063258545342517</v>
      </c>
      <c r="G29" s="93">
        <v>213</v>
      </c>
      <c r="H29" s="94">
        <f t="shared" si="20"/>
        <v>266254</v>
      </c>
      <c r="I29" s="96">
        <v>7.999879814012184</v>
      </c>
      <c r="J29" s="93">
        <v>224</v>
      </c>
      <c r="K29" s="94">
        <f t="shared" si="21"/>
        <v>269668</v>
      </c>
      <c r="L29" s="95">
        <v>8.306510227390717</v>
      </c>
      <c r="M29" s="93">
        <v>216</v>
      </c>
      <c r="N29" s="94">
        <f t="shared" si="22"/>
        <v>273255</v>
      </c>
      <c r="O29" s="95">
        <v>7.9047043969918205</v>
      </c>
      <c r="P29" s="93">
        <v>218</v>
      </c>
      <c r="Q29" s="94">
        <f t="shared" si="23"/>
        <v>276961</v>
      </c>
      <c r="R29" s="96">
        <v>7.871144312737172</v>
      </c>
      <c r="S29" s="93">
        <v>210</v>
      </c>
      <c r="T29" s="94">
        <f t="shared" si="24"/>
        <v>280675</v>
      </c>
      <c r="U29" s="96">
        <v>7.481963124610314</v>
      </c>
      <c r="V29" s="93">
        <v>223</v>
      </c>
      <c r="W29" s="94">
        <f t="shared" si="25"/>
        <v>284359</v>
      </c>
      <c r="X29" s="96">
        <v>7.84219947320113</v>
      </c>
      <c r="Y29" s="93">
        <v>192</v>
      </c>
      <c r="Z29" s="94">
        <f t="shared" si="26"/>
        <v>276189.99999999994</v>
      </c>
      <c r="AA29" s="111">
        <f>(192/276190)*10000</f>
        <v>6.951736123682973</v>
      </c>
      <c r="AB29" s="93">
        <v>193</v>
      </c>
      <c r="AC29" s="94">
        <f t="shared" si="27"/>
        <v>280822</v>
      </c>
      <c r="AD29" s="98">
        <f>(193/280822)*10000</f>
        <v>6.872680915312903</v>
      </c>
      <c r="AE29" s="93">
        <v>194</v>
      </c>
      <c r="AF29" s="94">
        <f t="shared" si="28"/>
        <v>283603</v>
      </c>
      <c r="AG29" s="98">
        <f>(194/283603)*10000</f>
        <v>6.840548231154114</v>
      </c>
      <c r="AH29" s="99">
        <v>196</v>
      </c>
      <c r="AI29" s="94">
        <f t="shared" si="29"/>
        <v>286385.99999999994</v>
      </c>
      <c r="AJ29" s="98">
        <f>(196/286386)*10000</f>
        <v>6.843909967666018</v>
      </c>
      <c r="AK29" s="100">
        <v>196</v>
      </c>
      <c r="AL29" s="94">
        <f t="shared" si="30"/>
        <v>289135</v>
      </c>
      <c r="AM29" s="101">
        <f>(196/289135)*10000</f>
        <v>6.778840334099987</v>
      </c>
      <c r="AN29" s="102">
        <v>211</v>
      </c>
      <c r="AO29" s="103">
        <v>291845</v>
      </c>
      <c r="AP29" s="104">
        <f t="shared" si="31"/>
        <v>7.229865168154329</v>
      </c>
      <c r="AQ29" s="146">
        <v>262</v>
      </c>
      <c r="AR29" s="144">
        <f t="shared" si="13"/>
        <v>294370</v>
      </c>
      <c r="AS29" s="143">
        <v>8.900363488127187</v>
      </c>
      <c r="AT29" s="144">
        <v>259</v>
      </c>
      <c r="AU29" s="147">
        <f t="shared" si="14"/>
        <v>296861</v>
      </c>
      <c r="AV29" s="143">
        <v>8.724621961119851</v>
      </c>
      <c r="AW29" s="170">
        <v>277</v>
      </c>
      <c r="AX29" s="147">
        <v>299319</v>
      </c>
      <c r="AY29" s="143">
        <f t="shared" si="15"/>
        <v>9.254340686692125</v>
      </c>
      <c r="AZ29" s="170">
        <v>266</v>
      </c>
      <c r="BA29" s="147">
        <v>301740</v>
      </c>
      <c r="BB29" s="143">
        <f t="shared" si="16"/>
        <v>8.815536554649698</v>
      </c>
      <c r="BC29" s="170">
        <v>261</v>
      </c>
      <c r="BD29" s="147">
        <v>304122</v>
      </c>
      <c r="BE29" s="143">
        <f t="shared" si="17"/>
        <v>8.582082190699785</v>
      </c>
      <c r="BF29" s="170">
        <v>304</v>
      </c>
      <c r="BG29" s="147">
        <v>306469</v>
      </c>
      <c r="BH29" s="143">
        <f t="shared" si="18"/>
        <v>9.91943720245767</v>
      </c>
    </row>
    <row r="30" spans="2:60" ht="14.25">
      <c r="B30" s="13" t="s">
        <v>72</v>
      </c>
      <c r="C30" s="90" t="s">
        <v>22</v>
      </c>
      <c r="D30" s="23">
        <v>183</v>
      </c>
      <c r="E30" s="17">
        <f t="shared" si="19"/>
        <v>316675.00000000006</v>
      </c>
      <c r="F30" s="31">
        <v>5.778795294860661</v>
      </c>
      <c r="G30" s="23">
        <v>189</v>
      </c>
      <c r="H30" s="17">
        <f t="shared" si="20"/>
        <v>320571.99999999994</v>
      </c>
      <c r="I30" s="29">
        <v>5.895711415844179</v>
      </c>
      <c r="J30" s="23">
        <v>181</v>
      </c>
      <c r="K30" s="17">
        <f t="shared" si="21"/>
        <v>324565</v>
      </c>
      <c r="L30" s="31">
        <v>5.57669496094773</v>
      </c>
      <c r="M30" s="23">
        <v>160</v>
      </c>
      <c r="N30" s="17">
        <f t="shared" si="22"/>
        <v>328760.00000000006</v>
      </c>
      <c r="O30" s="31">
        <v>4.86677211339579</v>
      </c>
      <c r="P30" s="23">
        <v>162</v>
      </c>
      <c r="Q30" s="17">
        <f t="shared" si="23"/>
        <v>333095</v>
      </c>
      <c r="R30" s="29">
        <v>4.863477386331227</v>
      </c>
      <c r="S30" s="23">
        <v>175</v>
      </c>
      <c r="T30" s="17">
        <f t="shared" si="24"/>
        <v>337438</v>
      </c>
      <c r="U30" s="29">
        <v>5.186137897924952</v>
      </c>
      <c r="V30" s="23">
        <v>197</v>
      </c>
      <c r="W30" s="17">
        <f t="shared" si="25"/>
        <v>341747</v>
      </c>
      <c r="X30" s="29">
        <v>5.764498298448852</v>
      </c>
      <c r="Y30" s="23">
        <v>214</v>
      </c>
      <c r="Z30" s="17">
        <f t="shared" si="26"/>
        <v>376381</v>
      </c>
      <c r="AA30" s="33">
        <f>(214/376381)*10000</f>
        <v>5.685728025591089</v>
      </c>
      <c r="AB30" s="15">
        <v>217</v>
      </c>
      <c r="AC30" s="17">
        <f t="shared" si="27"/>
        <v>386131</v>
      </c>
      <c r="AD30" s="49">
        <f>(217/386131)*10000</f>
        <v>5.619854401744485</v>
      </c>
      <c r="AE30" s="15">
        <v>219</v>
      </c>
      <c r="AF30" s="17">
        <f t="shared" si="28"/>
        <v>395623</v>
      </c>
      <c r="AG30" s="49">
        <f>(219/395623)*10000</f>
        <v>5.535573007636057</v>
      </c>
      <c r="AH30" s="20">
        <v>213</v>
      </c>
      <c r="AI30" s="17">
        <f t="shared" si="29"/>
        <v>404649.00000000006</v>
      </c>
      <c r="AJ30" s="50">
        <f>(213/404649)*10000</f>
        <v>5.263821237665235</v>
      </c>
      <c r="AK30" s="23">
        <v>213</v>
      </c>
      <c r="AL30" s="17">
        <v>413442</v>
      </c>
      <c r="AM30" s="51">
        <v>5.2</v>
      </c>
      <c r="AN30" s="46">
        <v>239</v>
      </c>
      <c r="AO30" s="47">
        <v>422108</v>
      </c>
      <c r="AP30" s="52">
        <f t="shared" si="31"/>
        <v>5.662058051493931</v>
      </c>
      <c r="AQ30" s="128">
        <v>303</v>
      </c>
      <c r="AR30" s="129">
        <f t="shared" si="13"/>
        <v>430660</v>
      </c>
      <c r="AS30" s="133">
        <v>7.035712627130451</v>
      </c>
      <c r="AT30" s="129">
        <v>288</v>
      </c>
      <c r="AU30" s="2">
        <f t="shared" si="14"/>
        <v>438906.00000000006</v>
      </c>
      <c r="AV30" s="133">
        <v>6.561769490505939</v>
      </c>
      <c r="AW30" s="169">
        <v>278</v>
      </c>
      <c r="AX30" s="2">
        <v>447040</v>
      </c>
      <c r="AY30" s="133">
        <f t="shared" si="15"/>
        <v>6.2186828919112385</v>
      </c>
      <c r="AZ30" s="169">
        <v>343</v>
      </c>
      <c r="BA30" s="2">
        <v>455056</v>
      </c>
      <c r="BB30" s="133">
        <f t="shared" si="16"/>
        <v>7.537533841988679</v>
      </c>
      <c r="BC30" s="169">
        <v>332</v>
      </c>
      <c r="BD30" s="2">
        <v>462998</v>
      </c>
      <c r="BE30" s="133">
        <f t="shared" si="17"/>
        <v>7.1706573246536705</v>
      </c>
      <c r="BF30" s="193">
        <v>325</v>
      </c>
      <c r="BG30" s="2">
        <v>470776</v>
      </c>
      <c r="BH30" s="133">
        <f t="shared" si="18"/>
        <v>6.903495505293388</v>
      </c>
    </row>
    <row r="31" spans="2:60" s="10" customFormat="1" ht="14.25">
      <c r="B31" s="91" t="s">
        <v>73</v>
      </c>
      <c r="C31" s="92" t="s">
        <v>24</v>
      </c>
      <c r="D31" s="100">
        <v>294</v>
      </c>
      <c r="E31" s="94">
        <f t="shared" si="19"/>
        <v>346472</v>
      </c>
      <c r="F31" s="95">
        <v>8.485534184580573</v>
      </c>
      <c r="G31" s="100">
        <v>283</v>
      </c>
      <c r="H31" s="94">
        <f t="shared" si="20"/>
        <v>346282</v>
      </c>
      <c r="I31" s="96">
        <v>8.172529903373551</v>
      </c>
      <c r="J31" s="100">
        <v>279</v>
      </c>
      <c r="K31" s="94">
        <f t="shared" si="21"/>
        <v>346086</v>
      </c>
      <c r="L31" s="95">
        <v>8.06158006969366</v>
      </c>
      <c r="M31" s="100">
        <v>295</v>
      </c>
      <c r="N31" s="94">
        <f t="shared" si="22"/>
        <v>345880</v>
      </c>
      <c r="O31" s="95">
        <v>8.528969584827108</v>
      </c>
      <c r="P31" s="100">
        <v>289</v>
      </c>
      <c r="Q31" s="94">
        <f t="shared" si="23"/>
        <v>345666</v>
      </c>
      <c r="R31" s="96">
        <v>8.360671862433678</v>
      </c>
      <c r="S31" s="100">
        <v>258</v>
      </c>
      <c r="T31" s="94">
        <f t="shared" si="24"/>
        <v>345453</v>
      </c>
      <c r="U31" s="96">
        <v>7.468454464138393</v>
      </c>
      <c r="V31" s="100">
        <v>256</v>
      </c>
      <c r="W31" s="94">
        <f t="shared" si="25"/>
        <v>345240</v>
      </c>
      <c r="X31" s="96">
        <v>7.415131502722744</v>
      </c>
      <c r="Y31" s="100">
        <v>237</v>
      </c>
      <c r="Z31" s="94">
        <f t="shared" si="26"/>
        <v>340071</v>
      </c>
      <c r="AA31" s="96">
        <f>(237/340071)*10000</f>
        <v>6.969132916361583</v>
      </c>
      <c r="AB31" s="93">
        <v>252</v>
      </c>
      <c r="AC31" s="94">
        <f t="shared" si="27"/>
        <v>343441</v>
      </c>
      <c r="AD31" s="98">
        <f>(252/343441)*10000</f>
        <v>7.337504840714999</v>
      </c>
      <c r="AE31" s="93">
        <v>261</v>
      </c>
      <c r="AF31" s="94">
        <f t="shared" si="28"/>
        <v>343537.00000000006</v>
      </c>
      <c r="AG31" s="98">
        <f>(261/343537)*10000</f>
        <v>7.597434919673863</v>
      </c>
      <c r="AH31" s="99">
        <v>261</v>
      </c>
      <c r="AI31" s="94">
        <f t="shared" si="29"/>
        <v>343617</v>
      </c>
      <c r="AJ31" s="98">
        <f>(261/343617)*10000</f>
        <v>7.595666104994805</v>
      </c>
      <c r="AK31" s="100">
        <v>261</v>
      </c>
      <c r="AL31" s="94">
        <f>AK31/AM31*10000</f>
        <v>343701</v>
      </c>
      <c r="AM31" s="101">
        <f>(261/343701)*10000</f>
        <v>7.593809735787793</v>
      </c>
      <c r="AN31" s="102">
        <v>251</v>
      </c>
      <c r="AO31" s="103">
        <v>343792</v>
      </c>
      <c r="AP31" s="104">
        <f t="shared" si="31"/>
        <v>7.300926141387816</v>
      </c>
      <c r="AQ31" s="146">
        <v>264.01431367067374</v>
      </c>
      <c r="AR31" s="144">
        <f t="shared" si="13"/>
        <v>343895.6444777662</v>
      </c>
      <c r="AS31" s="143">
        <v>7.677163636998112</v>
      </c>
      <c r="AT31" s="144">
        <v>277</v>
      </c>
      <c r="AU31" s="147">
        <f t="shared" si="14"/>
        <v>343917</v>
      </c>
      <c r="AV31" s="143">
        <v>8.054268907905104</v>
      </c>
      <c r="AW31" s="170">
        <v>289</v>
      </c>
      <c r="AX31" s="147">
        <v>343961</v>
      </c>
      <c r="AY31" s="143">
        <f t="shared" si="15"/>
        <v>8.402115356101419</v>
      </c>
      <c r="AZ31" s="170">
        <v>269</v>
      </c>
      <c r="BA31" s="147">
        <v>344011</v>
      </c>
      <c r="BB31" s="143">
        <f t="shared" si="16"/>
        <v>7.819517399152934</v>
      </c>
      <c r="BC31" s="170">
        <v>267</v>
      </c>
      <c r="BD31" s="147">
        <v>344067</v>
      </c>
      <c r="BE31" s="143">
        <f t="shared" si="17"/>
        <v>7.760116488939654</v>
      </c>
      <c r="BF31" s="170">
        <v>280</v>
      </c>
      <c r="BG31" s="147">
        <v>344117</v>
      </c>
      <c r="BH31" s="143">
        <f t="shared" si="18"/>
        <v>8.136767436656719</v>
      </c>
    </row>
    <row r="32" spans="2:60" ht="14.25">
      <c r="B32" s="13" t="s">
        <v>74</v>
      </c>
      <c r="C32" s="90" t="s">
        <v>22</v>
      </c>
      <c r="D32" s="23">
        <v>379</v>
      </c>
      <c r="E32" s="17">
        <f t="shared" si="19"/>
        <v>285869</v>
      </c>
      <c r="F32" s="31">
        <v>13.257820889988071</v>
      </c>
      <c r="G32" s="23">
        <v>389</v>
      </c>
      <c r="H32" s="17">
        <f t="shared" si="20"/>
        <v>285627.00000000006</v>
      </c>
      <c r="I32" s="29">
        <v>13.619160653579668</v>
      </c>
      <c r="J32" s="23">
        <v>388</v>
      </c>
      <c r="K32" s="17">
        <f t="shared" si="21"/>
        <v>285380</v>
      </c>
      <c r="L32" s="31">
        <v>13.595907211437382</v>
      </c>
      <c r="M32" s="23">
        <v>384</v>
      </c>
      <c r="N32" s="17">
        <f t="shared" si="22"/>
        <v>285121</v>
      </c>
      <c r="O32" s="31">
        <v>13.4679662318805</v>
      </c>
      <c r="P32" s="23">
        <v>384</v>
      </c>
      <c r="Q32" s="17">
        <f t="shared" si="23"/>
        <v>284853</v>
      </c>
      <c r="R32" s="29">
        <v>13.480637381386188</v>
      </c>
      <c r="S32" s="23">
        <v>369</v>
      </c>
      <c r="T32" s="17">
        <f t="shared" si="24"/>
        <v>284583</v>
      </c>
      <c r="U32" s="29">
        <v>12.966340224117392</v>
      </c>
      <c r="V32" s="23">
        <v>367</v>
      </c>
      <c r="W32" s="17">
        <f t="shared" si="25"/>
        <v>284317</v>
      </c>
      <c r="X32" s="29">
        <v>12.908127196052295</v>
      </c>
      <c r="Y32" s="23">
        <v>361</v>
      </c>
      <c r="Z32" s="17">
        <f t="shared" si="26"/>
        <v>269420</v>
      </c>
      <c r="AA32" s="33">
        <f>(361/269420)*10000</f>
        <v>13.399153737658674</v>
      </c>
      <c r="AB32" s="15">
        <v>365</v>
      </c>
      <c r="AC32" s="17">
        <f t="shared" si="27"/>
        <v>271677</v>
      </c>
      <c r="AD32" s="49">
        <f>(365/271677)*10000</f>
        <v>13.435071794815167</v>
      </c>
      <c r="AE32" s="15">
        <v>361</v>
      </c>
      <c r="AF32" s="17">
        <f t="shared" si="28"/>
        <v>271078</v>
      </c>
      <c r="AG32" s="50">
        <f>(361/271078)*10000</f>
        <v>13.317200215436147</v>
      </c>
      <c r="AH32" s="20">
        <v>392</v>
      </c>
      <c r="AI32" s="17">
        <f t="shared" si="29"/>
        <v>270597.99999999994</v>
      </c>
      <c r="AJ32" s="50">
        <f>(392/270598)*10000</f>
        <v>14.486433750434225</v>
      </c>
      <c r="AK32" s="23">
        <v>392</v>
      </c>
      <c r="AL32" s="17">
        <f>AK32/AM32*10000</f>
        <v>270139.00000000006</v>
      </c>
      <c r="AM32" s="51">
        <f>(392/270139)*10000</f>
        <v>14.51104801602138</v>
      </c>
      <c r="AN32" s="45">
        <v>406</v>
      </c>
      <c r="AO32" s="47">
        <v>269705</v>
      </c>
      <c r="AP32" s="70">
        <f t="shared" si="31"/>
        <v>15.05348436254426</v>
      </c>
      <c r="AQ32" s="128">
        <v>433</v>
      </c>
      <c r="AR32" s="129">
        <f t="shared" si="13"/>
        <v>269294</v>
      </c>
      <c r="AS32" s="133">
        <v>16.079080855867566</v>
      </c>
      <c r="AT32" s="129">
        <v>444</v>
      </c>
      <c r="AU32" s="2">
        <f t="shared" si="14"/>
        <v>268897.00000000006</v>
      </c>
      <c r="AV32" s="133">
        <v>16.511898608017194</v>
      </c>
      <c r="AW32" s="169">
        <v>435</v>
      </c>
      <c r="AX32" s="2">
        <v>268509</v>
      </c>
      <c r="AY32" s="133">
        <f t="shared" si="15"/>
        <v>16.200574282426288</v>
      </c>
      <c r="AZ32" s="169">
        <v>423</v>
      </c>
      <c r="BA32" s="2">
        <v>268064</v>
      </c>
      <c r="BB32" s="133">
        <f t="shared" si="16"/>
        <v>15.77981377581473</v>
      </c>
      <c r="BC32" s="169">
        <v>426</v>
      </c>
      <c r="BD32" s="2">
        <v>267655</v>
      </c>
      <c r="BE32" s="133">
        <f t="shared" si="17"/>
        <v>15.916011283181708</v>
      </c>
      <c r="BF32" s="193">
        <v>432</v>
      </c>
      <c r="BG32" s="2">
        <v>267257</v>
      </c>
      <c r="BH32" s="133">
        <f t="shared" si="18"/>
        <v>16.164216465798837</v>
      </c>
    </row>
    <row r="33" spans="2:60" ht="14.25">
      <c r="B33" s="78" t="s">
        <v>30</v>
      </c>
      <c r="C33" s="77"/>
      <c r="D33" s="79">
        <v>8903</v>
      </c>
      <c r="E33" s="69">
        <v>8873839</v>
      </c>
      <c r="F33" s="80">
        <v>10.032861763662831</v>
      </c>
      <c r="G33" s="79">
        <v>8989</v>
      </c>
      <c r="H33" s="69">
        <v>8943887</v>
      </c>
      <c r="I33" s="81">
        <v>10.050440037983485</v>
      </c>
      <c r="J33" s="79">
        <v>8977</v>
      </c>
      <c r="K33" s="69">
        <v>9015913</v>
      </c>
      <c r="L33" s="80">
        <v>9.956839645635446</v>
      </c>
      <c r="M33" s="79">
        <v>8950</v>
      </c>
      <c r="N33" s="69">
        <v>9092138</v>
      </c>
      <c r="O33" s="80">
        <v>9.843669332779594</v>
      </c>
      <c r="P33" s="79">
        <v>9041</v>
      </c>
      <c r="Q33" s="69">
        <v>9170896</v>
      </c>
      <c r="R33" s="81">
        <v>9.858360622560761</v>
      </c>
      <c r="S33" s="79">
        <v>9036</v>
      </c>
      <c r="T33" s="69">
        <v>9249830</v>
      </c>
      <c r="U33" s="81">
        <v>9.768828183869326</v>
      </c>
      <c r="V33" s="79">
        <v>8985</v>
      </c>
      <c r="W33" s="69">
        <v>9328078</v>
      </c>
      <c r="X33" s="81">
        <v>9.632209336156924</v>
      </c>
      <c r="Y33" s="79">
        <v>9088</v>
      </c>
      <c r="Z33" s="69">
        <v>9748891</v>
      </c>
      <c r="AA33" s="81">
        <v>9.322085968547603</v>
      </c>
      <c r="AB33" s="68">
        <v>9136</v>
      </c>
      <c r="AC33" s="69">
        <v>9937165</v>
      </c>
      <c r="AD33" s="82">
        <v>9.193769047811926</v>
      </c>
      <c r="AE33" s="68">
        <v>9348</v>
      </c>
      <c r="AF33" s="69">
        <v>10071349</v>
      </c>
      <c r="AG33" s="82">
        <v>9.28177546026853</v>
      </c>
      <c r="AH33" s="83">
        <v>9382</v>
      </c>
      <c r="AI33" s="69">
        <v>10204087</v>
      </c>
      <c r="AJ33" s="82">
        <v>9.194355163769183</v>
      </c>
      <c r="AK33" s="79">
        <v>9494</v>
      </c>
      <c r="AL33" s="69">
        <v>10335123</v>
      </c>
      <c r="AM33" s="84">
        <v>9.186150953404232</v>
      </c>
      <c r="AN33" s="85">
        <v>9617.554162869801</v>
      </c>
      <c r="AO33" s="71">
        <v>10464213</v>
      </c>
      <c r="AP33" s="86">
        <v>9.19132666737575</v>
      </c>
      <c r="AQ33" s="148">
        <v>9775.541174897595</v>
      </c>
      <c r="AR33" s="151">
        <f t="shared" si="13"/>
        <v>11119576.091233267</v>
      </c>
      <c r="AS33" s="150">
        <v>8.791289429283806</v>
      </c>
      <c r="AT33" s="148">
        <v>9786</v>
      </c>
      <c r="AU33" s="149">
        <f t="shared" si="14"/>
        <v>11247936.999999993</v>
      </c>
      <c r="AV33" s="152">
        <v>8.70026210139691</v>
      </c>
      <c r="AW33" s="148">
        <v>9575</v>
      </c>
      <c r="AX33" s="149">
        <f>SUM(AX9:AX32)</f>
        <v>11019708</v>
      </c>
      <c r="AY33" s="167">
        <f t="shared" si="15"/>
        <v>8.688977965659344</v>
      </c>
      <c r="AZ33" s="148">
        <v>9409</v>
      </c>
      <c r="BA33" s="149">
        <v>11142882</v>
      </c>
      <c r="BB33" s="167">
        <v>8.443955522458193</v>
      </c>
      <c r="BC33" s="148">
        <v>9525</v>
      </c>
      <c r="BD33" s="149">
        <f>SUM(BD9:BD32)</f>
        <v>11264104</v>
      </c>
      <c r="BE33" s="167">
        <f t="shared" si="17"/>
        <v>8.4560653914417</v>
      </c>
      <c r="BF33" s="148">
        <v>9525</v>
      </c>
      <c r="BG33" s="149">
        <f>SUM(BG9:BG32)</f>
        <v>11383537</v>
      </c>
      <c r="BH33" s="167">
        <f t="shared" si="18"/>
        <v>8.367346634003122</v>
      </c>
    </row>
    <row r="34" spans="2:60" ht="14.25">
      <c r="B34" s="183" t="s">
        <v>47</v>
      </c>
      <c r="C34" s="72"/>
      <c r="D34" s="73">
        <v>27248</v>
      </c>
      <c r="E34" s="74">
        <v>14410581</v>
      </c>
      <c r="F34" s="75">
        <v>18.90832853998045</v>
      </c>
      <c r="G34" s="73">
        <v>27522</v>
      </c>
      <c r="H34" s="74">
        <v>14530996</v>
      </c>
      <c r="I34" s="75">
        <v>18.94020203432717</v>
      </c>
      <c r="J34" s="73">
        <v>27907</v>
      </c>
      <c r="K34" s="74">
        <v>14654379.000000002</v>
      </c>
      <c r="L34" s="75">
        <v>19.043454519635393</v>
      </c>
      <c r="M34" s="73">
        <v>27783</v>
      </c>
      <c r="N34" s="74">
        <v>14784007</v>
      </c>
      <c r="O34" s="75">
        <v>18.79260473835003</v>
      </c>
      <c r="P34" s="73">
        <v>27976</v>
      </c>
      <c r="Q34" s="74">
        <v>14917939.999999998</v>
      </c>
      <c r="R34" s="75">
        <v>18.753259498295343</v>
      </c>
      <c r="S34" s="73">
        <v>27691</v>
      </c>
      <c r="T34" s="74">
        <v>15052177</v>
      </c>
      <c r="U34" s="75">
        <v>18.3966744478224</v>
      </c>
      <c r="V34" s="73">
        <v>27503</v>
      </c>
      <c r="W34" s="74">
        <v>15185336</v>
      </c>
      <c r="X34" s="75">
        <v>18.111551828685254</v>
      </c>
      <c r="Y34" s="73">
        <v>27816</v>
      </c>
      <c r="Z34" s="74">
        <v>15625083.999999972</v>
      </c>
      <c r="AA34" s="75">
        <v>17.8021442956723</v>
      </c>
      <c r="AB34" s="73">
        <v>27660</v>
      </c>
      <c r="AC34" s="74">
        <v>15909607</v>
      </c>
      <c r="AD34" s="75">
        <v>17.385721721473068</v>
      </c>
      <c r="AE34" s="73">
        <v>27724</v>
      </c>
      <c r="AF34" s="74">
        <v>16100618</v>
      </c>
      <c r="AG34" s="75">
        <v>17.219214815232558</v>
      </c>
      <c r="AH34" s="73">
        <v>27613</v>
      </c>
      <c r="AI34" s="74">
        <v>16289598.999999998</v>
      </c>
      <c r="AJ34" s="75">
        <v>16.95130739559642</v>
      </c>
      <c r="AK34" s="73">
        <v>27887</v>
      </c>
      <c r="AL34" s="74">
        <v>16476148.999999998</v>
      </c>
      <c r="AM34" s="75">
        <v>16.92567844585528</v>
      </c>
      <c r="AN34" s="76">
        <v>27600.657581177245</v>
      </c>
      <c r="AO34" s="87">
        <v>16659931</v>
      </c>
      <c r="AP34" s="88">
        <v>16.567089972447814</v>
      </c>
      <c r="AQ34" s="184">
        <v>27882.674851196603</v>
      </c>
      <c r="AR34" s="185">
        <f t="shared" si="13"/>
        <v>16841135</v>
      </c>
      <c r="AS34" s="186">
        <v>16.556291990531875</v>
      </c>
      <c r="AT34" s="185">
        <v>27858</v>
      </c>
      <c r="AU34" s="187">
        <f t="shared" si="14"/>
        <v>17020012</v>
      </c>
      <c r="AV34" s="187">
        <v>16.36779104503569</v>
      </c>
      <c r="AW34" s="188">
        <v>27636</v>
      </c>
      <c r="AX34" s="187">
        <v>17196396</v>
      </c>
      <c r="AY34" s="186">
        <f t="shared" si="15"/>
        <v>16.070809255613792</v>
      </c>
      <c r="AZ34" s="184">
        <v>19848</v>
      </c>
      <c r="BA34" s="187">
        <v>17370144</v>
      </c>
      <c r="BB34" s="186">
        <v>11.426502854553192</v>
      </c>
      <c r="BC34" s="184">
        <v>27946</v>
      </c>
      <c r="BD34" s="187">
        <v>17541141</v>
      </c>
      <c r="BE34" s="186">
        <f t="shared" si="17"/>
        <v>15.93168882229497</v>
      </c>
      <c r="BF34" s="184">
        <v>27946</v>
      </c>
      <c r="BG34" s="187">
        <v>17541141</v>
      </c>
      <c r="BH34" s="186">
        <f t="shared" si="18"/>
        <v>15.93168882229497</v>
      </c>
    </row>
    <row r="35" spans="2:55" ht="14.25">
      <c r="B35" s="11"/>
      <c r="C35" s="12"/>
      <c r="D35" s="6"/>
      <c r="E35" s="6"/>
      <c r="F35" s="6"/>
      <c r="G35" s="6"/>
      <c r="H35" s="22"/>
      <c r="I35" s="6"/>
      <c r="J35" s="6"/>
      <c r="K35" s="22"/>
      <c r="L35" s="7"/>
      <c r="M35" s="6"/>
      <c r="N35" s="22"/>
      <c r="O35" s="7"/>
      <c r="P35" s="6"/>
      <c r="Q35" s="22"/>
      <c r="R35" s="7"/>
      <c r="S35" s="6"/>
      <c r="T35" s="22"/>
      <c r="U35" s="7"/>
      <c r="V35" s="6"/>
      <c r="W35" s="22"/>
      <c r="X35" s="7"/>
      <c r="Y35" s="6"/>
      <c r="Z35" s="22"/>
      <c r="AA35" s="7"/>
      <c r="AC35" s="22"/>
      <c r="AE35" s="19"/>
      <c r="AF35" s="22"/>
      <c r="AG35" s="19"/>
      <c r="AH35" s="1"/>
      <c r="AI35" s="22"/>
      <c r="AJ35" s="1"/>
      <c r="AL35" s="22"/>
      <c r="BC35" s="47"/>
    </row>
    <row r="36" spans="2:56" ht="18">
      <c r="B36" s="203" t="s">
        <v>44</v>
      </c>
      <c r="C36" s="203"/>
      <c r="D36" s="203"/>
      <c r="E36" s="203"/>
      <c r="F36" s="203"/>
      <c r="G36" s="203"/>
      <c r="H36" s="203"/>
      <c r="I36" s="203"/>
      <c r="J36" s="203"/>
      <c r="K36" s="203"/>
      <c r="L36" s="203"/>
      <c r="M36" s="203"/>
      <c r="N36" s="203"/>
      <c r="O36" s="203"/>
      <c r="P36" s="203"/>
      <c r="Q36" s="203"/>
      <c r="R36" s="203"/>
      <c r="S36" s="203"/>
      <c r="T36" s="203"/>
      <c r="U36" s="203"/>
      <c r="V36" s="203"/>
      <c r="W36" s="203"/>
      <c r="X36" s="203"/>
      <c r="Y36" s="203"/>
      <c r="Z36" s="203"/>
      <c r="AA36" s="203"/>
      <c r="AB36" s="203"/>
      <c r="AC36" s="203"/>
      <c r="AD36" s="203"/>
      <c r="AE36" s="203"/>
      <c r="AF36" s="203"/>
      <c r="AG36" s="203"/>
      <c r="AH36" s="203"/>
      <c r="AI36" s="203"/>
      <c r="AJ36" s="203"/>
      <c r="AK36" s="203"/>
      <c r="AL36" s="203"/>
      <c r="AM36" s="203"/>
      <c r="AN36" s="203"/>
      <c r="AO36" s="203"/>
      <c r="AP36" s="203"/>
      <c r="AQ36" s="203"/>
      <c r="AR36" s="203"/>
      <c r="AS36" s="203"/>
      <c r="AT36" s="203"/>
      <c r="AU36" s="203"/>
      <c r="AV36" s="203"/>
      <c r="AW36" s="203"/>
      <c r="AX36" s="203"/>
      <c r="AY36" s="203"/>
      <c r="AZ36" s="203"/>
      <c r="BA36" s="203"/>
      <c r="BB36" s="203"/>
      <c r="BC36" s="203"/>
      <c r="BD36" s="203"/>
    </row>
    <row r="37" spans="2:56" ht="15.75">
      <c r="B37" s="204" t="s">
        <v>76</v>
      </c>
      <c r="C37" s="204"/>
      <c r="D37" s="204"/>
      <c r="E37" s="204"/>
      <c r="F37" s="204"/>
      <c r="G37" s="204"/>
      <c r="H37" s="204"/>
      <c r="I37" s="204"/>
      <c r="J37" s="204"/>
      <c r="K37" s="204"/>
      <c r="L37" s="204"/>
      <c r="M37" s="204"/>
      <c r="N37" s="204"/>
      <c r="O37" s="204"/>
      <c r="P37" s="204"/>
      <c r="Q37" s="204"/>
      <c r="R37" s="204"/>
      <c r="S37" s="204"/>
      <c r="T37" s="204"/>
      <c r="U37" s="204"/>
      <c r="V37" s="204"/>
      <c r="W37" s="204"/>
      <c r="X37" s="204"/>
      <c r="Y37" s="204"/>
      <c r="Z37" s="204"/>
      <c r="AA37" s="204"/>
      <c r="AB37" s="204"/>
      <c r="AC37" s="204"/>
      <c r="AD37" s="204"/>
      <c r="AE37" s="204"/>
      <c r="AF37" s="204"/>
      <c r="AG37" s="204"/>
      <c r="AH37" s="204"/>
      <c r="AI37" s="204"/>
      <c r="AJ37" s="204"/>
      <c r="AK37" s="204"/>
      <c r="AL37" s="204"/>
      <c r="AM37" s="204"/>
      <c r="AN37" s="204"/>
      <c r="AO37" s="204"/>
      <c r="AP37" s="204"/>
      <c r="AQ37" s="204"/>
      <c r="AR37" s="204"/>
      <c r="AS37" s="204"/>
      <c r="AT37" s="204"/>
      <c r="AU37" s="204"/>
      <c r="AV37" s="204"/>
      <c r="AW37" s="204"/>
      <c r="AX37" s="204"/>
      <c r="AY37" s="204"/>
      <c r="AZ37" s="204"/>
      <c r="BA37" s="204"/>
      <c r="BB37" s="204"/>
      <c r="BC37" s="204"/>
      <c r="BD37" s="204"/>
    </row>
    <row r="38" spans="2:59" ht="4.5" customHeight="1">
      <c r="B38" s="118"/>
      <c r="C38" s="119"/>
      <c r="D38" s="119"/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119"/>
      <c r="P38" s="119"/>
      <c r="Q38" s="119"/>
      <c r="R38" s="119"/>
      <c r="S38" s="119"/>
      <c r="T38" s="119"/>
      <c r="U38" s="119"/>
      <c r="V38" s="119"/>
      <c r="W38" s="119"/>
      <c r="X38" s="119"/>
      <c r="Y38" s="119"/>
      <c r="Z38" s="119"/>
      <c r="AA38" s="120"/>
      <c r="AB38" s="120"/>
      <c r="AC38" s="120"/>
      <c r="AD38" s="120"/>
      <c r="AE38" s="120"/>
      <c r="AF38" s="120"/>
      <c r="AG38" s="120"/>
      <c r="AH38" s="121"/>
      <c r="AI38" s="121"/>
      <c r="AJ38" s="122"/>
      <c r="AK38" s="122"/>
      <c r="AL38" s="122"/>
      <c r="AM38" s="122"/>
      <c r="AN38" s="122"/>
      <c r="AO38" s="122"/>
      <c r="AP38" s="122"/>
      <c r="AQ38" s="122"/>
      <c r="AR38" s="122"/>
      <c r="AS38" s="122"/>
      <c r="AT38" s="122"/>
      <c r="AU38" s="194"/>
      <c r="AV38" s="194"/>
      <c r="AW38" s="194"/>
      <c r="AX38" s="194"/>
      <c r="AY38" s="194"/>
      <c r="AZ38" s="194"/>
      <c r="BA38" s="194"/>
      <c r="BB38" s="194"/>
      <c r="BC38" s="194"/>
      <c r="BD38" s="194"/>
      <c r="BE38" s="194"/>
      <c r="BF38" s="194"/>
      <c r="BG38" s="194"/>
    </row>
    <row r="39" spans="2:59" ht="14.25">
      <c r="B39" s="200" t="s">
        <v>38</v>
      </c>
      <c r="C39" s="177" t="s">
        <v>27</v>
      </c>
      <c r="D39" s="178"/>
      <c r="E39" s="178"/>
      <c r="F39" s="178"/>
      <c r="G39" s="178"/>
      <c r="H39" s="178"/>
      <c r="I39" s="178"/>
      <c r="J39" s="178"/>
      <c r="K39" s="178"/>
      <c r="L39" s="178"/>
      <c r="M39" s="178"/>
      <c r="N39" s="178"/>
      <c r="O39" s="178"/>
      <c r="P39" s="178"/>
      <c r="Q39" s="178"/>
      <c r="R39" s="178"/>
      <c r="S39" s="178"/>
      <c r="T39" s="178"/>
      <c r="U39" s="178"/>
      <c r="V39" s="178"/>
      <c r="W39" s="178"/>
      <c r="X39" s="178"/>
      <c r="Y39" s="178"/>
      <c r="Z39" s="178"/>
      <c r="AA39" s="178"/>
      <c r="AB39" s="178"/>
      <c r="AC39" s="178"/>
      <c r="AD39" s="178"/>
      <c r="AE39" s="178"/>
      <c r="AF39" s="178"/>
      <c r="AG39" s="178"/>
      <c r="AH39" s="178"/>
      <c r="AI39" s="178"/>
      <c r="AJ39" s="178"/>
      <c r="AK39" s="178"/>
      <c r="AL39" s="178"/>
      <c r="AM39" s="178"/>
      <c r="AN39" s="178"/>
      <c r="AO39" s="178"/>
      <c r="AP39" s="178"/>
      <c r="AQ39" s="178"/>
      <c r="AR39" s="178"/>
      <c r="AS39" s="178"/>
      <c r="AT39" s="178"/>
      <c r="AU39" s="178"/>
      <c r="AV39" s="178"/>
      <c r="AW39" s="178"/>
      <c r="AX39" s="178"/>
      <c r="AY39" s="178"/>
      <c r="AZ39" s="178"/>
      <c r="BA39" s="178"/>
      <c r="BB39" s="178"/>
      <c r="BC39" s="178"/>
      <c r="BD39" s="178"/>
      <c r="BE39" s="178"/>
      <c r="BF39" s="178"/>
      <c r="BG39" s="178"/>
    </row>
    <row r="40" spans="2:59" ht="14.25">
      <c r="B40" s="201"/>
      <c r="C40" s="205">
        <v>2003</v>
      </c>
      <c r="D40" s="206"/>
      <c r="E40" s="207"/>
      <c r="F40" s="205">
        <v>2004</v>
      </c>
      <c r="G40" s="206"/>
      <c r="H40" s="206"/>
      <c r="I40" s="205">
        <v>2005</v>
      </c>
      <c r="J40" s="206"/>
      <c r="K40" s="207"/>
      <c r="L40" s="205">
        <v>2006</v>
      </c>
      <c r="M40" s="206"/>
      <c r="N40" s="207"/>
      <c r="O40" s="205">
        <v>2007</v>
      </c>
      <c r="P40" s="206"/>
      <c r="Q40" s="207"/>
      <c r="R40" s="205">
        <v>2008</v>
      </c>
      <c r="S40" s="206"/>
      <c r="T40" s="207"/>
      <c r="U40" s="205">
        <v>2009</v>
      </c>
      <c r="V40" s="206"/>
      <c r="W40" s="207"/>
      <c r="X40" s="205" t="s">
        <v>37</v>
      </c>
      <c r="Y40" s="206"/>
      <c r="Z40" s="207"/>
      <c r="AA40" s="205">
        <v>2011</v>
      </c>
      <c r="AB40" s="206"/>
      <c r="AC40" s="207"/>
      <c r="AD40" s="205">
        <v>2012</v>
      </c>
      <c r="AE40" s="206"/>
      <c r="AF40" s="207"/>
      <c r="AG40" s="205">
        <v>2013</v>
      </c>
      <c r="AH40" s="206"/>
      <c r="AI40" s="207"/>
      <c r="AJ40" s="199">
        <v>2014</v>
      </c>
      <c r="AK40" s="195"/>
      <c r="AL40" s="196"/>
      <c r="AM40" s="199">
        <v>2015</v>
      </c>
      <c r="AN40" s="195"/>
      <c r="AO40" s="196"/>
      <c r="AP40" s="199">
        <v>2016</v>
      </c>
      <c r="AQ40" s="195"/>
      <c r="AR40" s="196"/>
      <c r="AS40" s="199">
        <v>2017</v>
      </c>
      <c r="AT40" s="195"/>
      <c r="AU40" s="196"/>
      <c r="AV40" s="199">
        <v>2018</v>
      </c>
      <c r="AW40" s="195"/>
      <c r="AX40" s="196"/>
      <c r="AY40" s="199">
        <v>2019</v>
      </c>
      <c r="AZ40" s="195"/>
      <c r="BA40" s="196"/>
      <c r="BB40" s="199">
        <v>2020</v>
      </c>
      <c r="BC40" s="195"/>
      <c r="BD40" s="196"/>
      <c r="BE40" s="199">
        <v>2021</v>
      </c>
      <c r="BF40" s="195"/>
      <c r="BG40" s="196"/>
    </row>
    <row r="41" spans="2:59" ht="42.75">
      <c r="B41" s="202"/>
      <c r="C41" s="124" t="s">
        <v>31</v>
      </c>
      <c r="D41" s="153" t="s">
        <v>32</v>
      </c>
      <c r="E41" s="154" t="s">
        <v>33</v>
      </c>
      <c r="F41" s="124" t="s">
        <v>31</v>
      </c>
      <c r="G41" s="153" t="s">
        <v>32</v>
      </c>
      <c r="H41" s="153" t="s">
        <v>33</v>
      </c>
      <c r="I41" s="124" t="s">
        <v>31</v>
      </c>
      <c r="J41" s="153" t="s">
        <v>32</v>
      </c>
      <c r="K41" s="154" t="s">
        <v>33</v>
      </c>
      <c r="L41" s="124" t="s">
        <v>31</v>
      </c>
      <c r="M41" s="153" t="s">
        <v>32</v>
      </c>
      <c r="N41" s="154" t="s">
        <v>33</v>
      </c>
      <c r="O41" s="124" t="s">
        <v>31</v>
      </c>
      <c r="P41" s="153" t="s">
        <v>32</v>
      </c>
      <c r="Q41" s="154" t="s">
        <v>33</v>
      </c>
      <c r="R41" s="124" t="s">
        <v>31</v>
      </c>
      <c r="S41" s="153" t="s">
        <v>32</v>
      </c>
      <c r="T41" s="154" t="s">
        <v>33</v>
      </c>
      <c r="U41" s="124" t="s">
        <v>31</v>
      </c>
      <c r="V41" s="153" t="s">
        <v>32</v>
      </c>
      <c r="W41" s="154" t="s">
        <v>33</v>
      </c>
      <c r="X41" s="124" t="s">
        <v>31</v>
      </c>
      <c r="Y41" s="153" t="s">
        <v>32</v>
      </c>
      <c r="Z41" s="154" t="s">
        <v>33</v>
      </c>
      <c r="AA41" s="124" t="s">
        <v>31</v>
      </c>
      <c r="AB41" s="153" t="s">
        <v>32</v>
      </c>
      <c r="AC41" s="154" t="s">
        <v>33</v>
      </c>
      <c r="AD41" s="124" t="s">
        <v>31</v>
      </c>
      <c r="AE41" s="153" t="s">
        <v>32</v>
      </c>
      <c r="AF41" s="154" t="s">
        <v>33</v>
      </c>
      <c r="AG41" s="124" t="s">
        <v>31</v>
      </c>
      <c r="AH41" s="153" t="s">
        <v>32</v>
      </c>
      <c r="AI41" s="154" t="s">
        <v>33</v>
      </c>
      <c r="AJ41" s="124" t="s">
        <v>31</v>
      </c>
      <c r="AK41" s="153" t="s">
        <v>32</v>
      </c>
      <c r="AL41" s="154" t="s">
        <v>33</v>
      </c>
      <c r="AM41" s="124" t="s">
        <v>31</v>
      </c>
      <c r="AN41" s="153" t="s">
        <v>32</v>
      </c>
      <c r="AO41" s="154" t="s">
        <v>33</v>
      </c>
      <c r="AP41" s="124" t="s">
        <v>31</v>
      </c>
      <c r="AQ41" s="153" t="s">
        <v>32</v>
      </c>
      <c r="AR41" s="154" t="s">
        <v>33</v>
      </c>
      <c r="AS41" s="124" t="s">
        <v>31</v>
      </c>
      <c r="AT41" s="153" t="s">
        <v>32</v>
      </c>
      <c r="AU41" s="154" t="s">
        <v>33</v>
      </c>
      <c r="AV41" s="124" t="s">
        <v>31</v>
      </c>
      <c r="AW41" s="153" t="s">
        <v>32</v>
      </c>
      <c r="AX41" s="154" t="s">
        <v>33</v>
      </c>
      <c r="AY41" s="123" t="s">
        <v>31</v>
      </c>
      <c r="AZ41" s="153" t="s">
        <v>32</v>
      </c>
      <c r="BA41" s="154" t="s">
        <v>33</v>
      </c>
      <c r="BB41" s="123" t="s">
        <v>31</v>
      </c>
      <c r="BC41" s="153" t="s">
        <v>32</v>
      </c>
      <c r="BD41" s="154" t="s">
        <v>33</v>
      </c>
      <c r="BE41" s="123" t="s">
        <v>31</v>
      </c>
      <c r="BF41" s="153" t="s">
        <v>32</v>
      </c>
      <c r="BG41" s="154" t="s">
        <v>33</v>
      </c>
    </row>
    <row r="42" spans="2:59" ht="14.25">
      <c r="B42" s="112" t="s">
        <v>22</v>
      </c>
      <c r="C42" s="113">
        <v>2391</v>
      </c>
      <c r="D42" s="114">
        <v>2289821</v>
      </c>
      <c r="E42" s="176">
        <f>(C42*10000)/D42</f>
        <v>10.441864233055771</v>
      </c>
      <c r="F42" s="113">
        <v>2456</v>
      </c>
      <c r="G42" s="114">
        <v>2306625</v>
      </c>
      <c r="H42" s="180">
        <f>(F42*10000)/G42</f>
        <v>10.6475911775863</v>
      </c>
      <c r="I42" s="113">
        <v>2523</v>
      </c>
      <c r="J42" s="114">
        <v>2323843</v>
      </c>
      <c r="K42" s="176">
        <f>(I42*10000)/J42</f>
        <v>10.857015727826708</v>
      </c>
      <c r="L42" s="113">
        <v>2459</v>
      </c>
      <c r="M42" s="114">
        <v>2341935</v>
      </c>
      <c r="N42" s="176">
        <f>(L42*10000)/M42</f>
        <v>10.499864428346646</v>
      </c>
      <c r="O42" s="113">
        <v>2584</v>
      </c>
      <c r="P42" s="114">
        <v>2360623</v>
      </c>
      <c r="Q42" s="176">
        <f>(O42*10000)/P42</f>
        <v>10.946262914493335</v>
      </c>
      <c r="R42" s="113">
        <v>2565</v>
      </c>
      <c r="S42" s="114">
        <v>2379353</v>
      </c>
      <c r="T42" s="176">
        <f>(R42*10000)/S42</f>
        <v>10.780241519438267</v>
      </c>
      <c r="U42" s="113">
        <v>2577</v>
      </c>
      <c r="V42" s="114">
        <v>2397933</v>
      </c>
      <c r="W42" s="176">
        <f>(U42*10000)/V42</f>
        <v>10.74675564329779</v>
      </c>
      <c r="X42" s="113">
        <v>2635</v>
      </c>
      <c r="Y42" s="114">
        <v>2380661</v>
      </c>
      <c r="Z42" s="176">
        <f>(X42*10000)/Y42</f>
        <v>11.068354545229246</v>
      </c>
      <c r="AA42" s="113">
        <v>2641</v>
      </c>
      <c r="AB42" s="114">
        <v>2418046</v>
      </c>
      <c r="AC42" s="176">
        <f>(AA42*10000)/AB42</f>
        <v>10.922042012434833</v>
      </c>
      <c r="AD42" s="113">
        <v>2819</v>
      </c>
      <c r="AE42" s="114">
        <v>2439108</v>
      </c>
      <c r="AF42" s="176">
        <f>(AD42*10000)/AE42</f>
        <v>11.557503808769436</v>
      </c>
      <c r="AG42" s="113">
        <v>2891</v>
      </c>
      <c r="AH42" s="114">
        <v>2459717</v>
      </c>
      <c r="AI42" s="176">
        <f>(AG42*10000)/AH42</f>
        <v>11.75338463733836</v>
      </c>
      <c r="AJ42" s="113">
        <v>2891</v>
      </c>
      <c r="AK42" s="114">
        <v>2480030</v>
      </c>
      <c r="AL42" s="176">
        <f>(AJ42*10000)/AK42</f>
        <v>11.657117051003416</v>
      </c>
      <c r="AM42" s="113">
        <v>2920</v>
      </c>
      <c r="AN42" s="114">
        <v>2500101</v>
      </c>
      <c r="AO42" s="176">
        <f>(AM42*10000)/AN42</f>
        <v>11.67952814706286</v>
      </c>
      <c r="AP42" s="113">
        <v>3081</v>
      </c>
      <c r="AQ42" s="114">
        <v>2519850</v>
      </c>
      <c r="AR42" s="176">
        <f>(AP42*10000)/AQ42</f>
        <v>12.22691826894458</v>
      </c>
      <c r="AS42" s="113">
        <v>3106</v>
      </c>
      <c r="AT42" s="114">
        <v>2539022</v>
      </c>
      <c r="AU42" s="176">
        <f>(AS42*10000)/AT42</f>
        <v>12.23305666512539</v>
      </c>
      <c r="AV42" s="172">
        <v>3139</v>
      </c>
      <c r="AW42" s="114">
        <v>2557803</v>
      </c>
      <c r="AX42" s="176">
        <f>(AV42*10000)/AW42</f>
        <v>12.272250834016537</v>
      </c>
      <c r="AY42" s="145">
        <v>3269</v>
      </c>
      <c r="AZ42" s="114">
        <f>+BA15+BA18+BA22+BA27+BA28+BA29+BA30+BA32</f>
        <v>2576390</v>
      </c>
      <c r="BA42" s="176">
        <f>(AY42*10000)/AZ42</f>
        <v>12.688296414750873</v>
      </c>
      <c r="BB42" s="145">
        <v>4303</v>
      </c>
      <c r="BC42" s="114">
        <f>+BD15+BD18+BD22+BD27+BD28+BD29+BD30+BD32</f>
        <v>2594543</v>
      </c>
      <c r="BD42" s="176">
        <f>(BB42*10000)/BC42</f>
        <v>16.584808962503224</v>
      </c>
      <c r="BE42" s="145">
        <v>3896</v>
      </c>
      <c r="BF42" s="114">
        <v>2612671</v>
      </c>
      <c r="BG42" s="176">
        <f>(BE42*10000)/BF42</f>
        <v>14.91194260586197</v>
      </c>
    </row>
    <row r="43" spans="2:59" ht="14.25">
      <c r="B43" s="14" t="s">
        <v>26</v>
      </c>
      <c r="C43" s="55">
        <v>3937</v>
      </c>
      <c r="D43" s="54">
        <v>3537532</v>
      </c>
      <c r="E43" s="174">
        <f>(C43*10000)/D43</f>
        <v>11.12922794761998</v>
      </c>
      <c r="F43" s="55">
        <v>3875</v>
      </c>
      <c r="G43" s="54">
        <v>3564836</v>
      </c>
      <c r="H43" s="181">
        <f>(F43*10000)/G43</f>
        <v>10.870065270884831</v>
      </c>
      <c r="I43" s="55">
        <v>3782</v>
      </c>
      <c r="J43" s="54">
        <v>3592892</v>
      </c>
      <c r="K43" s="174">
        <f>(I43*10000)/J43</f>
        <v>10.526339227563756</v>
      </c>
      <c r="L43" s="55">
        <v>3826</v>
      </c>
      <c r="M43" s="54">
        <v>3622552</v>
      </c>
      <c r="N43" s="174">
        <f>(L43*10000)/M43</f>
        <v>10.561615126573752</v>
      </c>
      <c r="O43" s="55">
        <v>3812</v>
      </c>
      <c r="P43" s="54">
        <v>3653198</v>
      </c>
      <c r="Q43" s="174">
        <f>(O43*10000)/P43</f>
        <v>10.434693109981994</v>
      </c>
      <c r="R43" s="55">
        <v>3887</v>
      </c>
      <c r="S43" s="54">
        <v>3683919</v>
      </c>
      <c r="T43" s="174">
        <f>(R43*10000)/S43</f>
        <v>10.55126347783434</v>
      </c>
      <c r="U43" s="55">
        <v>3953</v>
      </c>
      <c r="V43" s="54">
        <v>3714368</v>
      </c>
      <c r="W43" s="174">
        <f>(U43*10000)/V43</f>
        <v>10.642456536347503</v>
      </c>
      <c r="X43" s="55">
        <v>3893</v>
      </c>
      <c r="Y43" s="54">
        <v>3768994</v>
      </c>
      <c r="Z43" s="174">
        <f>(X43*10000)/Y43</f>
        <v>10.32901617779174</v>
      </c>
      <c r="AA43" s="55">
        <v>3929</v>
      </c>
      <c r="AB43" s="54">
        <v>3835548</v>
      </c>
      <c r="AC43" s="174">
        <f>(AA43*10000)/AB43</f>
        <v>10.24364706164543</v>
      </c>
      <c r="AD43" s="55">
        <v>3897</v>
      </c>
      <c r="AE43" s="54">
        <v>3879065</v>
      </c>
      <c r="AF43" s="174">
        <f>(AD43*10000)/AE43</f>
        <v>10.046235368574644</v>
      </c>
      <c r="AG43" s="55">
        <v>3909</v>
      </c>
      <c r="AH43" s="54">
        <v>3921770</v>
      </c>
      <c r="AI43" s="174">
        <f>(AG43*10000)/AH43</f>
        <v>9.967438172049865</v>
      </c>
      <c r="AJ43" s="55">
        <v>3909</v>
      </c>
      <c r="AK43" s="54">
        <v>3964036</v>
      </c>
      <c r="AL43" s="174">
        <f>(AJ43*10000)/AK43</f>
        <v>9.861161704888653</v>
      </c>
      <c r="AM43" s="55">
        <v>3892.5267656095275</v>
      </c>
      <c r="AN43" s="54">
        <v>4005383</v>
      </c>
      <c r="AO43" s="174">
        <f>(AM43*10000)/AN43</f>
        <v>9.718238594435357</v>
      </c>
      <c r="AP43" s="55">
        <v>3923.940559857058</v>
      </c>
      <c r="AQ43" s="54">
        <v>4046117.9999999967</v>
      </c>
      <c r="AR43" s="174">
        <f>(AP43*10000)/AQ43</f>
        <v>9.698037871997458</v>
      </c>
      <c r="AS43" s="55">
        <v>3855</v>
      </c>
      <c r="AT43" s="54">
        <v>4086484</v>
      </c>
      <c r="AU43" s="174">
        <f>(AS43*10000)/AT43</f>
        <v>9.433537486014872</v>
      </c>
      <c r="AV43" s="128">
        <v>3638</v>
      </c>
      <c r="AW43" s="54">
        <v>4126057</v>
      </c>
      <c r="AX43" s="174">
        <f>(AV43*10000)/AW43</f>
        <v>8.817134615445205</v>
      </c>
      <c r="AY43" s="128">
        <v>3701</v>
      </c>
      <c r="AZ43" s="54">
        <f>BA9+BA10+BA11+BA12+BA13+BA14+BA20+BA21+BA26</f>
        <v>4164717</v>
      </c>
      <c r="BA43" s="174">
        <f>(AY43*10000)/AZ43</f>
        <v>8.886558198312155</v>
      </c>
      <c r="BB43" s="128">
        <v>3349</v>
      </c>
      <c r="BC43" s="54">
        <f>BD9+BD10+BD11+BD12+BD13+BD14+BD20+BD21+BD26</f>
        <v>4203067</v>
      </c>
      <c r="BD43" s="174">
        <f>(BB43*10000)/BC43</f>
        <v>7.967990993243744</v>
      </c>
      <c r="BE43" s="128">
        <v>3620</v>
      </c>
      <c r="BF43" s="54">
        <v>4240724</v>
      </c>
      <c r="BG43" s="174">
        <f>(BE43*10000)/BF43</f>
        <v>8.536278239281783</v>
      </c>
    </row>
    <row r="44" spans="2:59" ht="14.25">
      <c r="B44" s="112" t="s">
        <v>24</v>
      </c>
      <c r="C44" s="115">
        <v>1692</v>
      </c>
      <c r="D44" s="116">
        <v>1745000</v>
      </c>
      <c r="E44" s="175">
        <f>(C44*10000)/D44</f>
        <v>9.696275071633238</v>
      </c>
      <c r="F44" s="115">
        <v>1777</v>
      </c>
      <c r="G44" s="116">
        <v>1759183</v>
      </c>
      <c r="H44" s="182">
        <f>(F44*10000)/G44</f>
        <v>10.101279969167505</v>
      </c>
      <c r="I44" s="115">
        <v>1829</v>
      </c>
      <c r="J44" s="116">
        <v>1773777</v>
      </c>
      <c r="K44" s="175">
        <f>(I44*10000)/J44</f>
        <v>10.311330003715236</v>
      </c>
      <c r="L44" s="115">
        <v>1830</v>
      </c>
      <c r="M44" s="116">
        <v>1789265</v>
      </c>
      <c r="N44" s="175">
        <f>(L44*10000)/M44</f>
        <v>10.227663314265914</v>
      </c>
      <c r="O44" s="115">
        <v>1823</v>
      </c>
      <c r="P44" s="116">
        <v>1805272</v>
      </c>
      <c r="Q44" s="175">
        <f>(O44*10000)/P44</f>
        <v>10.098201268285333</v>
      </c>
      <c r="R44" s="115">
        <v>1770</v>
      </c>
      <c r="S44" s="116">
        <v>1821314</v>
      </c>
      <c r="T44" s="175">
        <f>(R44*10000)/S44</f>
        <v>9.718258356329551</v>
      </c>
      <c r="U44" s="115">
        <v>1676</v>
      </c>
      <c r="V44" s="116">
        <v>1837215</v>
      </c>
      <c r="W44" s="175">
        <f>(U44*10000)/V44</f>
        <v>9.122503354261749</v>
      </c>
      <c r="X44" s="115">
        <v>1767</v>
      </c>
      <c r="Y44" s="116">
        <v>1823420</v>
      </c>
      <c r="Z44" s="175">
        <f>(X44*10000)/Y44</f>
        <v>9.690581434886093</v>
      </c>
      <c r="AA44" s="115">
        <v>1775</v>
      </c>
      <c r="AB44" s="116">
        <v>1853045</v>
      </c>
      <c r="AC44" s="175">
        <f>(AA44*10000)/AB44</f>
        <v>9.57882836088708</v>
      </c>
      <c r="AD44" s="115">
        <v>1839</v>
      </c>
      <c r="AE44" s="116">
        <v>1869925</v>
      </c>
      <c r="AF44" s="175">
        <f>(AD44*10000)/AE44</f>
        <v>9.834619035522815</v>
      </c>
      <c r="AG44" s="115">
        <v>1754</v>
      </c>
      <c r="AH44" s="116">
        <v>1887206</v>
      </c>
      <c r="AI44" s="175">
        <f>(AG44*10000)/AH44</f>
        <v>9.2941629053744</v>
      </c>
      <c r="AJ44" s="115">
        <v>1771</v>
      </c>
      <c r="AK44" s="116">
        <v>1904273</v>
      </c>
      <c r="AL44" s="175">
        <f>(AJ44*10000)/AK44</f>
        <v>9.3001371126934</v>
      </c>
      <c r="AM44" s="115">
        <v>1859.027397260274</v>
      </c>
      <c r="AN44" s="116">
        <v>1921301</v>
      </c>
      <c r="AO44" s="175">
        <f>(AM44*10000)/AN44</f>
        <v>9.675877945518552</v>
      </c>
      <c r="AP44" s="115">
        <v>1839.600615040537</v>
      </c>
      <c r="AQ44" s="116">
        <v>1938187.6444777662</v>
      </c>
      <c r="AR44" s="175">
        <f>(AP44*10000)/AQ44</f>
        <v>9.491344247714503</v>
      </c>
      <c r="AS44" s="115">
        <v>1916</v>
      </c>
      <c r="AT44" s="116">
        <v>1954942</v>
      </c>
      <c r="AU44" s="175">
        <f>(AS44*10000)/AT44</f>
        <v>9.800802274440878</v>
      </c>
      <c r="AV44" s="145">
        <v>1925</v>
      </c>
      <c r="AW44" s="116">
        <v>1446906</v>
      </c>
      <c r="AX44" s="175">
        <f>(AV44*10000)/AW44</f>
        <v>13.30425058711485</v>
      </c>
      <c r="AY44" s="145">
        <v>2689</v>
      </c>
      <c r="AZ44" s="116">
        <f>BA16+BA17+BA23+BA24+BA25+BA31</f>
        <v>2167915</v>
      </c>
      <c r="BA44" s="175">
        <f>(AY44*10000)/AZ44</f>
        <v>12.403622835766162</v>
      </c>
      <c r="BB44" s="145">
        <v>4312</v>
      </c>
      <c r="BC44" s="116">
        <f>SUM(BD16,BD17,BD23,BD24,BD25,BD31)</f>
        <v>2185300</v>
      </c>
      <c r="BD44" s="175">
        <f>(BB44*10000)/BC44</f>
        <v>19.7318445979957</v>
      </c>
      <c r="BE44" s="145">
        <v>2011</v>
      </c>
      <c r="BF44" s="116">
        <v>1884164</v>
      </c>
      <c r="BG44" s="175">
        <f>(BE44*10000)/BF44</f>
        <v>10.673168577682198</v>
      </c>
    </row>
    <row r="45" spans="2:59" ht="14.25">
      <c r="B45" s="16" t="s">
        <v>41</v>
      </c>
      <c r="C45" s="26">
        <v>883</v>
      </c>
      <c r="D45" s="18">
        <v>1301486.0000000002</v>
      </c>
      <c r="E45" s="30">
        <f>(C45*10000)/D45</f>
        <v>6.7845524269949875</v>
      </c>
      <c r="F45" s="26">
        <v>881</v>
      </c>
      <c r="G45" s="18">
        <v>1313243</v>
      </c>
      <c r="H45" s="32">
        <f>(F45*10000)/G45</f>
        <v>6.708583255345736</v>
      </c>
      <c r="I45" s="26">
        <v>843</v>
      </c>
      <c r="J45" s="18">
        <v>1325401</v>
      </c>
      <c r="K45" s="30">
        <f>(I45*10000)/J45</f>
        <v>6.360339248272787</v>
      </c>
      <c r="L45" s="26">
        <v>838</v>
      </c>
      <c r="M45" s="18">
        <v>1338385.9999999998</v>
      </c>
      <c r="N45" s="30">
        <f>(L45*10000)/M45</f>
        <v>6.261272906321496</v>
      </c>
      <c r="O45" s="26">
        <v>825</v>
      </c>
      <c r="P45" s="18">
        <v>1351803</v>
      </c>
      <c r="Q45" s="30">
        <f>(O45*10000)/P45</f>
        <v>6.1029602686190225</v>
      </c>
      <c r="R45" s="26">
        <v>814</v>
      </c>
      <c r="S45" s="18">
        <v>1365244.0000000002</v>
      </c>
      <c r="T45" s="30">
        <f>(R45*10000)/S45</f>
        <v>5.962304174198897</v>
      </c>
      <c r="U45" s="26">
        <v>779</v>
      </c>
      <c r="V45" s="18">
        <v>1378562</v>
      </c>
      <c r="W45" s="30">
        <f>(U45*10000)/V45</f>
        <v>5.650815850139494</v>
      </c>
      <c r="X45" s="26">
        <v>793</v>
      </c>
      <c r="Y45" s="18">
        <v>1775815.9999999998</v>
      </c>
      <c r="Z45" s="34">
        <f>(X45*10000)/Y45</f>
        <v>4.465552737445772</v>
      </c>
      <c r="AA45" s="25">
        <v>791</v>
      </c>
      <c r="AB45" s="18">
        <v>1830525.9999999998</v>
      </c>
      <c r="AC45" s="56">
        <f>(AA45*10000)/AB45</f>
        <v>4.3211623325754465</v>
      </c>
      <c r="AD45" s="25">
        <v>793</v>
      </c>
      <c r="AE45" s="18">
        <v>1883251.0000000002</v>
      </c>
      <c r="AF45" s="56">
        <f>(AD45*10000)/AE45</f>
        <v>4.21080355194289</v>
      </c>
      <c r="AG45" s="28">
        <v>828</v>
      </c>
      <c r="AH45" s="18">
        <v>1935394</v>
      </c>
      <c r="AI45" s="57">
        <f>(AG45*10000)/AH45</f>
        <v>4.278198651024029</v>
      </c>
      <c r="AJ45" s="26">
        <v>923</v>
      </c>
      <c r="AK45" s="18">
        <v>1986784</v>
      </c>
      <c r="AL45" s="57">
        <f>(AJ45*10000)/AK45</f>
        <v>4.645698777521864</v>
      </c>
      <c r="AM45" s="58">
        <v>946</v>
      </c>
      <c r="AN45" s="59">
        <v>2037428</v>
      </c>
      <c r="AO45" s="60">
        <f>(AM45*10000)/AN45</f>
        <v>4.643108860779375</v>
      </c>
      <c r="AP45" s="58">
        <v>931</v>
      </c>
      <c r="AQ45" s="59">
        <v>2087359</v>
      </c>
      <c r="AR45" s="60">
        <f>(AP45*10000)/AQ45</f>
        <v>4.460181502079901</v>
      </c>
      <c r="AS45" s="58">
        <v>909</v>
      </c>
      <c r="AT45" s="59">
        <v>2136695</v>
      </c>
      <c r="AU45" s="179">
        <f>(AS45*10000)/AT45</f>
        <v>4.254233758210694</v>
      </c>
      <c r="AV45" s="168">
        <v>873</v>
      </c>
      <c r="AW45" s="173">
        <v>2185597</v>
      </c>
      <c r="AX45" s="60">
        <f>(AV45*10000)/AW45</f>
        <v>3.9943319834351896</v>
      </c>
      <c r="AY45" s="168">
        <v>831</v>
      </c>
      <c r="AZ45" s="173">
        <f>BA19</f>
        <v>2233860</v>
      </c>
      <c r="BA45" s="60">
        <f>(AY45*10000)/AZ45</f>
        <v>3.720018264349601</v>
      </c>
      <c r="BB45" s="168">
        <v>950</v>
      </c>
      <c r="BC45" s="173">
        <f>BD19</f>
        <v>2281194</v>
      </c>
      <c r="BD45" s="60">
        <f>(BB45*10000)/BC45</f>
        <v>4.164485791212847</v>
      </c>
      <c r="BE45" s="168">
        <v>976</v>
      </c>
      <c r="BF45" s="173">
        <v>2327874</v>
      </c>
      <c r="BG45" s="60">
        <f>(BE45*10000)/BF45</f>
        <v>4.192666785229785</v>
      </c>
    </row>
    <row r="46" spans="2:41" ht="14.25">
      <c r="B46" s="61"/>
      <c r="C46" s="21"/>
      <c r="D46" s="17"/>
      <c r="E46" s="31"/>
      <c r="F46" s="21"/>
      <c r="G46" s="17"/>
      <c r="H46" s="31"/>
      <c r="I46" s="21"/>
      <c r="J46" s="17"/>
      <c r="K46" s="31"/>
      <c r="L46" s="21"/>
      <c r="M46" s="17"/>
      <c r="N46" s="31"/>
      <c r="O46" s="21"/>
      <c r="P46" s="17"/>
      <c r="Q46" s="31"/>
      <c r="R46" s="21"/>
      <c r="S46" s="17"/>
      <c r="T46" s="31"/>
      <c r="U46" s="21"/>
      <c r="V46" s="17"/>
      <c r="W46" s="31"/>
      <c r="X46" s="21"/>
      <c r="Y46" s="17"/>
      <c r="Z46" s="62"/>
      <c r="AA46" s="17"/>
      <c r="AB46" s="17"/>
      <c r="AC46" s="63"/>
      <c r="AD46" s="17"/>
      <c r="AE46" s="17"/>
      <c r="AF46" s="63"/>
      <c r="AG46" s="27"/>
      <c r="AH46" s="17"/>
      <c r="AI46" s="64"/>
      <c r="AJ46" s="21"/>
      <c r="AK46" s="17"/>
      <c r="AL46" s="64"/>
      <c r="AM46" s="65"/>
      <c r="AN46" s="66"/>
      <c r="AO46" s="67"/>
    </row>
    <row r="47" spans="2:52" ht="14.25">
      <c r="B47" s="61"/>
      <c r="C47" s="21"/>
      <c r="D47" s="17"/>
      <c r="E47" s="31"/>
      <c r="F47" s="21"/>
      <c r="G47" s="17"/>
      <c r="H47" s="31"/>
      <c r="I47" s="21"/>
      <c r="J47" s="17"/>
      <c r="K47" s="31"/>
      <c r="L47" s="21"/>
      <c r="M47" s="17"/>
      <c r="N47" s="31"/>
      <c r="O47" s="21"/>
      <c r="P47" s="17"/>
      <c r="Q47" s="31"/>
      <c r="R47" s="21"/>
      <c r="S47" s="17"/>
      <c r="T47" s="31"/>
      <c r="U47" s="21"/>
      <c r="V47" s="17"/>
      <c r="W47" s="31"/>
      <c r="X47" s="21"/>
      <c r="Y47" s="17"/>
      <c r="Z47" s="62"/>
      <c r="AA47" s="17"/>
      <c r="AB47" s="17"/>
      <c r="AC47" s="63"/>
      <c r="AD47" s="17"/>
      <c r="AE47" s="17"/>
      <c r="AF47" s="63"/>
      <c r="AG47" s="27"/>
      <c r="AH47" s="17"/>
      <c r="AI47" s="64"/>
      <c r="AJ47" s="21"/>
      <c r="AK47" s="17"/>
      <c r="AL47" s="64"/>
      <c r="AM47" s="65"/>
      <c r="AN47" s="66"/>
      <c r="AO47" s="67"/>
      <c r="AZ47" s="126"/>
    </row>
    <row r="48" spans="2:52" ht="14.25">
      <c r="B48" s="61"/>
      <c r="C48" s="21"/>
      <c r="D48" s="17"/>
      <c r="E48" s="31"/>
      <c r="F48" s="21"/>
      <c r="G48" s="17"/>
      <c r="H48" s="31"/>
      <c r="I48" s="21"/>
      <c r="J48" s="17"/>
      <c r="K48" s="31"/>
      <c r="L48" s="21"/>
      <c r="M48" s="17"/>
      <c r="N48" s="31"/>
      <c r="O48" s="21"/>
      <c r="P48" s="17"/>
      <c r="Q48" s="31"/>
      <c r="R48" s="21"/>
      <c r="S48" s="17"/>
      <c r="T48" s="31"/>
      <c r="U48" s="21"/>
      <c r="V48" s="17"/>
      <c r="W48" s="31"/>
      <c r="X48" s="21"/>
      <c r="Y48" s="17"/>
      <c r="Z48" s="62"/>
      <c r="AA48" s="17"/>
      <c r="AB48" s="17"/>
      <c r="AC48" s="63"/>
      <c r="AD48" s="17"/>
      <c r="AE48" s="17"/>
      <c r="AF48" s="63"/>
      <c r="AG48" s="27"/>
      <c r="AH48" s="17"/>
      <c r="AI48" s="64"/>
      <c r="AJ48" s="21"/>
      <c r="AK48" s="17"/>
      <c r="AL48" s="64"/>
      <c r="AM48" s="65"/>
      <c r="AN48" s="66"/>
      <c r="AO48" s="67"/>
      <c r="AZ48" s="66"/>
    </row>
    <row r="49" spans="2:52" ht="14.25">
      <c r="B49" s="61"/>
      <c r="C49" s="21"/>
      <c r="D49" s="17"/>
      <c r="E49" s="31"/>
      <c r="F49" s="21"/>
      <c r="G49" s="17"/>
      <c r="H49" s="31"/>
      <c r="I49" s="21"/>
      <c r="J49" s="17"/>
      <c r="K49" s="31"/>
      <c r="L49" s="21"/>
      <c r="M49" s="17"/>
      <c r="N49" s="31"/>
      <c r="O49" s="21"/>
      <c r="P49" s="17"/>
      <c r="Q49" s="31"/>
      <c r="R49" s="21"/>
      <c r="S49" s="17"/>
      <c r="T49" s="31"/>
      <c r="U49" s="21"/>
      <c r="V49" s="17"/>
      <c r="W49" s="31"/>
      <c r="X49" s="21"/>
      <c r="Y49" s="17"/>
      <c r="Z49" s="62"/>
      <c r="AA49" s="17"/>
      <c r="AB49" s="17"/>
      <c r="AC49" s="63"/>
      <c r="AD49" s="17"/>
      <c r="AE49" s="17"/>
      <c r="AF49" s="63"/>
      <c r="AG49" s="27"/>
      <c r="AH49" s="17"/>
      <c r="AI49" s="64"/>
      <c r="AJ49" s="21"/>
      <c r="AK49" s="17"/>
      <c r="AL49" s="64"/>
      <c r="AM49" s="65"/>
      <c r="AN49" s="66"/>
      <c r="AO49" s="67"/>
      <c r="AZ49" s="66"/>
    </row>
    <row r="50" spans="2:52" ht="14.25">
      <c r="B50" s="61"/>
      <c r="C50" s="21"/>
      <c r="D50" s="17"/>
      <c r="E50" s="31"/>
      <c r="F50" s="21"/>
      <c r="G50" s="17"/>
      <c r="H50" s="31"/>
      <c r="I50" s="21"/>
      <c r="J50" s="17"/>
      <c r="K50" s="31"/>
      <c r="L50" s="21"/>
      <c r="M50" s="17"/>
      <c r="N50" s="31"/>
      <c r="O50" s="21"/>
      <c r="P50" s="17"/>
      <c r="Q50" s="31"/>
      <c r="R50" s="21"/>
      <c r="S50" s="17"/>
      <c r="T50" s="31"/>
      <c r="U50" s="21"/>
      <c r="V50" s="17"/>
      <c r="W50" s="31"/>
      <c r="X50" s="21"/>
      <c r="Y50" s="17"/>
      <c r="Z50" s="62"/>
      <c r="AA50" s="17"/>
      <c r="AB50" s="17"/>
      <c r="AC50" s="63"/>
      <c r="AD50" s="17"/>
      <c r="AE50" s="17"/>
      <c r="AF50" s="63"/>
      <c r="AG50" s="27"/>
      <c r="AH50" s="17"/>
      <c r="AI50" s="64"/>
      <c r="AJ50" s="21"/>
      <c r="AK50" s="17"/>
      <c r="AL50" s="64"/>
      <c r="AM50" s="65"/>
      <c r="AN50" s="66"/>
      <c r="AO50" s="67"/>
      <c r="AZ50" s="66"/>
    </row>
    <row r="51" spans="2:52" ht="14.25">
      <c r="B51" s="61"/>
      <c r="C51" s="21"/>
      <c r="D51" s="17"/>
      <c r="E51" s="31"/>
      <c r="F51" s="21"/>
      <c r="G51" s="17"/>
      <c r="H51" s="31"/>
      <c r="I51" s="21"/>
      <c r="J51" s="17"/>
      <c r="K51" s="31"/>
      <c r="L51" s="21"/>
      <c r="M51" s="17"/>
      <c r="N51" s="31"/>
      <c r="O51" s="21"/>
      <c r="P51" s="17"/>
      <c r="Q51" s="31"/>
      <c r="R51" s="21"/>
      <c r="S51" s="17"/>
      <c r="T51" s="31"/>
      <c r="U51" s="21"/>
      <c r="V51" s="17"/>
      <c r="W51" s="31"/>
      <c r="X51" s="21"/>
      <c r="Y51" s="17"/>
      <c r="Z51" s="62"/>
      <c r="AA51" s="17"/>
      <c r="AB51" s="17"/>
      <c r="AC51" s="63"/>
      <c r="AD51" s="17"/>
      <c r="AE51" s="17"/>
      <c r="AF51" s="63"/>
      <c r="AG51" s="27"/>
      <c r="AH51" s="17"/>
      <c r="AI51" s="64"/>
      <c r="AJ51" s="21"/>
      <c r="AK51" s="17"/>
      <c r="AL51" s="64"/>
      <c r="AM51" s="65"/>
      <c r="AN51" s="66"/>
      <c r="AO51" s="67"/>
      <c r="AZ51" s="189"/>
    </row>
    <row r="52" spans="2:41" ht="14.25">
      <c r="B52" s="61"/>
      <c r="C52" s="21"/>
      <c r="D52" s="17"/>
      <c r="E52" s="31"/>
      <c r="F52" s="21"/>
      <c r="G52" s="17"/>
      <c r="H52" s="31"/>
      <c r="I52" s="21"/>
      <c r="J52" s="17"/>
      <c r="K52" s="31"/>
      <c r="L52" s="21"/>
      <c r="M52" s="17"/>
      <c r="N52" s="31"/>
      <c r="O52" s="21"/>
      <c r="P52" s="17"/>
      <c r="Q52" s="31"/>
      <c r="R52" s="21"/>
      <c r="S52" s="17"/>
      <c r="T52" s="31"/>
      <c r="U52" s="21"/>
      <c r="V52" s="17"/>
      <c r="W52" s="31"/>
      <c r="X52" s="21"/>
      <c r="Y52" s="17"/>
      <c r="Z52" s="62"/>
      <c r="AA52" s="17"/>
      <c r="AB52" s="17"/>
      <c r="AC52" s="63"/>
      <c r="AD52" s="17"/>
      <c r="AE52" s="17"/>
      <c r="AF52" s="63"/>
      <c r="AG52" s="27"/>
      <c r="AH52" s="17"/>
      <c r="AI52" s="64"/>
      <c r="AJ52" s="21"/>
      <c r="AK52" s="17"/>
      <c r="AL52" s="64"/>
      <c r="AM52" s="65"/>
      <c r="AN52" s="66"/>
      <c r="AO52" s="67"/>
    </row>
    <row r="53" spans="2:41" ht="14.25">
      <c r="B53" s="61"/>
      <c r="C53" s="21"/>
      <c r="D53" s="17"/>
      <c r="E53" s="31"/>
      <c r="F53" s="21"/>
      <c r="G53" s="17"/>
      <c r="H53" s="31"/>
      <c r="I53" s="21"/>
      <c r="J53" s="17"/>
      <c r="K53" s="31"/>
      <c r="L53" s="21"/>
      <c r="M53" s="17"/>
      <c r="N53" s="31"/>
      <c r="O53" s="21"/>
      <c r="P53" s="17"/>
      <c r="Q53" s="31"/>
      <c r="R53" s="21"/>
      <c r="S53" s="17"/>
      <c r="T53" s="31"/>
      <c r="U53" s="21"/>
      <c r="V53" s="17"/>
      <c r="W53" s="31"/>
      <c r="X53" s="21"/>
      <c r="Y53" s="17"/>
      <c r="Z53" s="62"/>
      <c r="AA53" s="17"/>
      <c r="AB53" s="17"/>
      <c r="AC53" s="63"/>
      <c r="AD53" s="17"/>
      <c r="AE53" s="17"/>
      <c r="AF53" s="63"/>
      <c r="AG53" s="27"/>
      <c r="AH53" s="17"/>
      <c r="AI53" s="64"/>
      <c r="AJ53" s="21"/>
      <c r="AK53" s="17"/>
      <c r="AL53" s="64"/>
      <c r="AM53" s="65"/>
      <c r="AN53" s="66"/>
      <c r="AO53" s="67"/>
    </row>
    <row r="54" spans="2:41" ht="14.25">
      <c r="B54" s="61"/>
      <c r="C54" s="21"/>
      <c r="D54" s="17"/>
      <c r="E54" s="31"/>
      <c r="F54" s="21"/>
      <c r="G54" s="17"/>
      <c r="H54" s="31"/>
      <c r="I54" s="21"/>
      <c r="J54" s="17"/>
      <c r="K54" s="31"/>
      <c r="L54" s="21"/>
      <c r="M54" s="17"/>
      <c r="N54" s="31"/>
      <c r="O54" s="21"/>
      <c r="P54" s="17"/>
      <c r="Q54" s="31"/>
      <c r="R54" s="21"/>
      <c r="S54" s="17"/>
      <c r="T54" s="31"/>
      <c r="U54" s="21"/>
      <c r="V54" s="17"/>
      <c r="W54" s="31"/>
      <c r="X54" s="21"/>
      <c r="Y54" s="17"/>
      <c r="Z54" s="62"/>
      <c r="AA54" s="17"/>
      <c r="AB54" s="17"/>
      <c r="AC54" s="63"/>
      <c r="AD54" s="17"/>
      <c r="AE54" s="17"/>
      <c r="AF54" s="63"/>
      <c r="AG54" s="27"/>
      <c r="AH54" s="17"/>
      <c r="AI54" s="64"/>
      <c r="AJ54" s="21"/>
      <c r="AK54" s="17"/>
      <c r="AL54" s="64"/>
      <c r="AM54" s="65"/>
      <c r="AN54" s="66"/>
      <c r="AO54" s="67"/>
    </row>
    <row r="55" spans="2:41" ht="14.25">
      <c r="B55" s="61"/>
      <c r="C55" s="21"/>
      <c r="D55" s="17"/>
      <c r="E55" s="31"/>
      <c r="F55" s="21"/>
      <c r="G55" s="17"/>
      <c r="H55" s="31"/>
      <c r="I55" s="21"/>
      <c r="J55" s="17"/>
      <c r="K55" s="31"/>
      <c r="L55" s="21"/>
      <c r="M55" s="17"/>
      <c r="N55" s="31"/>
      <c r="O55" s="21"/>
      <c r="P55" s="17"/>
      <c r="Q55" s="31"/>
      <c r="R55" s="21"/>
      <c r="S55" s="17"/>
      <c r="T55" s="31"/>
      <c r="U55" s="21"/>
      <c r="V55" s="17"/>
      <c r="W55" s="31"/>
      <c r="X55" s="21"/>
      <c r="Y55" s="17"/>
      <c r="Z55" s="62"/>
      <c r="AA55" s="17"/>
      <c r="AB55" s="17"/>
      <c r="AC55" s="63"/>
      <c r="AD55" s="17"/>
      <c r="AE55" s="17"/>
      <c r="AF55" s="63"/>
      <c r="AG55" s="27"/>
      <c r="AH55" s="17"/>
      <c r="AI55" s="64"/>
      <c r="AJ55" s="21"/>
      <c r="AK55" s="17"/>
      <c r="AL55" s="64"/>
      <c r="AM55" s="65"/>
      <c r="AN55" s="66"/>
      <c r="AO55" s="67"/>
    </row>
    <row r="56" spans="2:41" ht="14.25">
      <c r="B56" s="61"/>
      <c r="C56" s="21"/>
      <c r="D56" s="17"/>
      <c r="E56" s="31"/>
      <c r="F56" s="21"/>
      <c r="G56" s="17"/>
      <c r="H56" s="31"/>
      <c r="I56" s="21"/>
      <c r="J56" s="17"/>
      <c r="K56" s="31"/>
      <c r="L56" s="21"/>
      <c r="M56" s="17"/>
      <c r="N56" s="31"/>
      <c r="O56" s="21"/>
      <c r="P56" s="17"/>
      <c r="Q56" s="31"/>
      <c r="R56" s="21"/>
      <c r="S56" s="17"/>
      <c r="T56" s="31"/>
      <c r="U56" s="21"/>
      <c r="V56" s="17"/>
      <c r="W56" s="31"/>
      <c r="X56" s="21"/>
      <c r="Y56" s="17"/>
      <c r="Z56" s="62"/>
      <c r="AA56" s="17"/>
      <c r="AB56" s="17"/>
      <c r="AC56" s="63"/>
      <c r="AD56" s="17"/>
      <c r="AE56" s="17"/>
      <c r="AF56" s="63"/>
      <c r="AG56" s="27"/>
      <c r="AH56" s="17"/>
      <c r="AI56" s="64"/>
      <c r="AJ56" s="21"/>
      <c r="AK56" s="17"/>
      <c r="AL56" s="64"/>
      <c r="AM56" s="65"/>
      <c r="AN56" s="66"/>
      <c r="AO56" s="67"/>
    </row>
    <row r="57" spans="2:41" ht="14.25">
      <c r="B57" s="61"/>
      <c r="C57" s="21"/>
      <c r="D57" s="17"/>
      <c r="E57" s="31"/>
      <c r="F57" s="21"/>
      <c r="G57" s="17"/>
      <c r="H57" s="31"/>
      <c r="I57" s="21"/>
      <c r="J57" s="17"/>
      <c r="K57" s="31"/>
      <c r="L57" s="21"/>
      <c r="M57" s="17"/>
      <c r="N57" s="31"/>
      <c r="O57" s="21"/>
      <c r="P57" s="17"/>
      <c r="Q57" s="31"/>
      <c r="R57" s="21"/>
      <c r="S57" s="17"/>
      <c r="T57" s="31"/>
      <c r="U57" s="21"/>
      <c r="V57" s="17"/>
      <c r="W57" s="31"/>
      <c r="X57" s="21"/>
      <c r="Y57" s="17"/>
      <c r="Z57" s="62"/>
      <c r="AA57" s="17"/>
      <c r="AB57" s="17"/>
      <c r="AC57" s="63"/>
      <c r="AD57" s="17"/>
      <c r="AE57" s="17"/>
      <c r="AF57" s="63"/>
      <c r="AG57" s="27"/>
      <c r="AH57" s="17"/>
      <c r="AI57" s="64"/>
      <c r="AJ57" s="21"/>
      <c r="AK57" s="17"/>
      <c r="AL57" s="64"/>
      <c r="AM57" s="65"/>
      <c r="AN57" s="66"/>
      <c r="AO57" s="67"/>
    </row>
    <row r="58" spans="2:41" ht="14.25">
      <c r="B58" s="61"/>
      <c r="C58" s="21"/>
      <c r="D58" s="17"/>
      <c r="E58" s="31"/>
      <c r="F58" s="21"/>
      <c r="G58" s="17"/>
      <c r="H58" s="31"/>
      <c r="I58" s="21"/>
      <c r="J58" s="17"/>
      <c r="K58" s="31"/>
      <c r="L58" s="21"/>
      <c r="M58" s="17"/>
      <c r="N58" s="31"/>
      <c r="O58" s="21"/>
      <c r="P58" s="17"/>
      <c r="Q58" s="31"/>
      <c r="R58" s="21"/>
      <c r="S58" s="17"/>
      <c r="T58" s="31"/>
      <c r="U58" s="21"/>
      <c r="V58" s="17"/>
      <c r="W58" s="31"/>
      <c r="X58" s="21"/>
      <c r="Y58" s="17"/>
      <c r="Z58" s="62"/>
      <c r="AA58" s="17"/>
      <c r="AB58" s="17"/>
      <c r="AC58" s="63"/>
      <c r="AD58" s="17"/>
      <c r="AE58" s="17"/>
      <c r="AF58" s="63"/>
      <c r="AG58" s="27"/>
      <c r="AH58" s="17"/>
      <c r="AI58" s="64"/>
      <c r="AJ58" s="21"/>
      <c r="AK58" s="17"/>
      <c r="AL58" s="64"/>
      <c r="AM58" s="65"/>
      <c r="AN58" s="66"/>
      <c r="AO58" s="67"/>
    </row>
    <row r="59" spans="2:41" ht="14.25">
      <c r="B59" s="61"/>
      <c r="C59" s="21"/>
      <c r="D59" s="17"/>
      <c r="E59" s="31"/>
      <c r="F59" s="21"/>
      <c r="G59" s="17"/>
      <c r="H59" s="31"/>
      <c r="I59" s="21"/>
      <c r="J59" s="17"/>
      <c r="K59" s="31"/>
      <c r="L59" s="21"/>
      <c r="M59" s="17"/>
      <c r="N59" s="31"/>
      <c r="O59" s="21"/>
      <c r="P59" s="17"/>
      <c r="Q59" s="31"/>
      <c r="R59" s="21"/>
      <c r="S59" s="17"/>
      <c r="T59" s="31"/>
      <c r="U59" s="21"/>
      <c r="V59" s="17"/>
      <c r="W59" s="31"/>
      <c r="X59" s="21"/>
      <c r="Y59" s="17"/>
      <c r="Z59" s="62"/>
      <c r="AA59" s="17"/>
      <c r="AB59" s="17"/>
      <c r="AC59" s="63"/>
      <c r="AD59" s="17"/>
      <c r="AE59" s="17"/>
      <c r="AF59" s="63"/>
      <c r="AG59" s="27"/>
      <c r="AH59" s="17"/>
      <c r="AI59" s="64"/>
      <c r="AJ59" s="21"/>
      <c r="AK59" s="17"/>
      <c r="AL59" s="64"/>
      <c r="AM59" s="65"/>
      <c r="AN59" s="66"/>
      <c r="AO59" s="67"/>
    </row>
    <row r="60" spans="2:41" ht="14.25">
      <c r="B60" s="61"/>
      <c r="C60" s="21"/>
      <c r="D60" s="17"/>
      <c r="E60" s="31"/>
      <c r="F60" s="21"/>
      <c r="G60" s="17"/>
      <c r="H60" s="31"/>
      <c r="I60" s="21"/>
      <c r="J60" s="17"/>
      <c r="K60" s="31"/>
      <c r="L60" s="21"/>
      <c r="M60" s="17"/>
      <c r="N60" s="31"/>
      <c r="O60" s="21"/>
      <c r="P60" s="17"/>
      <c r="Q60" s="31"/>
      <c r="R60" s="21"/>
      <c r="S60" s="17"/>
      <c r="T60" s="31"/>
      <c r="U60" s="21"/>
      <c r="V60" s="17"/>
      <c r="W60" s="31"/>
      <c r="X60" s="21"/>
      <c r="Y60" s="17"/>
      <c r="Z60" s="62"/>
      <c r="AA60" s="17"/>
      <c r="AB60" s="17"/>
      <c r="AC60" s="63"/>
      <c r="AD60" s="17"/>
      <c r="AE60" s="17"/>
      <c r="AF60" s="63"/>
      <c r="AG60" s="27"/>
      <c r="AH60" s="17"/>
      <c r="AI60" s="64"/>
      <c r="AJ60" s="21"/>
      <c r="AK60" s="17"/>
      <c r="AL60" s="64"/>
      <c r="AM60" s="65"/>
      <c r="AN60" s="66"/>
      <c r="AO60" s="67"/>
    </row>
    <row r="61" spans="2:41" ht="14.25">
      <c r="B61" s="61"/>
      <c r="C61" s="21"/>
      <c r="D61" s="17"/>
      <c r="E61" s="31"/>
      <c r="F61" s="21"/>
      <c r="G61" s="17"/>
      <c r="H61" s="31"/>
      <c r="I61" s="21"/>
      <c r="J61" s="17"/>
      <c r="K61" s="31"/>
      <c r="L61" s="21"/>
      <c r="M61" s="17"/>
      <c r="N61" s="31"/>
      <c r="O61" s="21"/>
      <c r="P61" s="17"/>
      <c r="Q61" s="31"/>
      <c r="R61" s="21"/>
      <c r="S61" s="17"/>
      <c r="T61" s="31"/>
      <c r="U61" s="21"/>
      <c r="V61" s="17"/>
      <c r="W61" s="31"/>
      <c r="X61" s="21"/>
      <c r="Y61" s="17"/>
      <c r="Z61" s="62"/>
      <c r="AA61" s="17"/>
      <c r="AB61" s="17"/>
      <c r="AC61" s="63"/>
      <c r="AD61" s="17"/>
      <c r="AE61" s="17"/>
      <c r="AF61" s="63"/>
      <c r="AG61" s="27"/>
      <c r="AH61" s="17"/>
      <c r="AI61" s="64"/>
      <c r="AJ61" s="21"/>
      <c r="AK61" s="17"/>
      <c r="AL61" s="64"/>
      <c r="AM61" s="65"/>
      <c r="AN61" s="66"/>
      <c r="AO61" s="67"/>
    </row>
    <row r="62" spans="2:41" ht="14.25">
      <c r="B62" s="61"/>
      <c r="C62" s="21"/>
      <c r="D62" s="17"/>
      <c r="E62" s="31"/>
      <c r="F62" s="21"/>
      <c r="G62" s="17"/>
      <c r="H62" s="31"/>
      <c r="I62" s="21"/>
      <c r="J62" s="17"/>
      <c r="K62" s="31"/>
      <c r="L62" s="21"/>
      <c r="M62" s="17"/>
      <c r="N62" s="31"/>
      <c r="O62" s="21"/>
      <c r="P62" s="17"/>
      <c r="Q62" s="31"/>
      <c r="R62" s="21"/>
      <c r="S62" s="17"/>
      <c r="T62" s="31"/>
      <c r="U62" s="21"/>
      <c r="V62" s="17"/>
      <c r="W62" s="31"/>
      <c r="X62" s="21"/>
      <c r="Y62" s="17"/>
      <c r="Z62" s="62"/>
      <c r="AA62" s="17"/>
      <c r="AB62" s="17"/>
      <c r="AC62" s="63"/>
      <c r="AD62" s="17"/>
      <c r="AE62" s="17"/>
      <c r="AF62" s="63"/>
      <c r="AG62" s="27"/>
      <c r="AH62" s="17"/>
      <c r="AI62" s="64"/>
      <c r="AJ62" s="21"/>
      <c r="AK62" s="17"/>
      <c r="AL62" s="64"/>
      <c r="AM62" s="65"/>
      <c r="AN62" s="66"/>
      <c r="AO62" s="67"/>
    </row>
    <row r="63" spans="2:41" ht="15.75">
      <c r="B63" s="61"/>
      <c r="C63" s="21"/>
      <c r="D63" s="17"/>
      <c r="E63" s="31"/>
      <c r="F63" s="21"/>
      <c r="G63" s="17"/>
      <c r="H63" s="31"/>
      <c r="I63" s="160"/>
      <c r="J63" s="17"/>
      <c r="K63" s="31"/>
      <c r="L63" s="21"/>
      <c r="M63" s="17"/>
      <c r="N63" s="31"/>
      <c r="O63" s="21"/>
      <c r="P63" s="17"/>
      <c r="Q63" s="31"/>
      <c r="R63" s="21"/>
      <c r="S63" s="17"/>
      <c r="T63" s="31"/>
      <c r="U63" s="21"/>
      <c r="V63" s="17"/>
      <c r="W63" s="31"/>
      <c r="X63" s="21"/>
      <c r="Y63" s="17"/>
      <c r="Z63" s="62"/>
      <c r="AA63" s="17"/>
      <c r="AB63" s="17"/>
      <c r="AC63" s="63"/>
      <c r="AD63" s="17"/>
      <c r="AE63" s="17"/>
      <c r="AF63" s="63"/>
      <c r="AG63" s="27"/>
      <c r="AH63" s="17"/>
      <c r="AI63" s="64"/>
      <c r="AJ63" s="21"/>
      <c r="AK63" s="17"/>
      <c r="AL63" s="64"/>
      <c r="AM63" s="65"/>
      <c r="AN63" s="66"/>
      <c r="AO63" s="67"/>
    </row>
    <row r="64" spans="2:41" ht="14.25">
      <c r="B64" s="61"/>
      <c r="C64" s="21"/>
      <c r="D64" s="17"/>
      <c r="E64" s="31"/>
      <c r="F64" s="21"/>
      <c r="G64" s="17"/>
      <c r="H64" s="31"/>
      <c r="I64" s="21"/>
      <c r="J64" s="17"/>
      <c r="K64" s="31"/>
      <c r="L64" s="21"/>
      <c r="M64" s="17"/>
      <c r="N64" s="31"/>
      <c r="O64" s="21"/>
      <c r="P64" s="17"/>
      <c r="Q64" s="31"/>
      <c r="R64" s="21"/>
      <c r="S64" s="17"/>
      <c r="T64" s="31"/>
      <c r="U64" s="21"/>
      <c r="V64" s="17"/>
      <c r="W64" s="31"/>
      <c r="X64" s="21"/>
      <c r="Y64" s="17"/>
      <c r="Z64" s="62"/>
      <c r="AA64" s="17"/>
      <c r="AB64" s="17"/>
      <c r="AC64" s="63"/>
      <c r="AD64" s="17"/>
      <c r="AE64" s="17"/>
      <c r="AF64" s="63"/>
      <c r="AG64" s="27"/>
      <c r="AH64" s="17"/>
      <c r="AI64" s="64"/>
      <c r="AJ64" s="21"/>
      <c r="AK64" s="17"/>
      <c r="AL64" s="64"/>
      <c r="AM64" s="65"/>
      <c r="AN64" s="66"/>
      <c r="AO64" s="67"/>
    </row>
    <row r="65" spans="2:41" ht="14.25">
      <c r="B65" s="61"/>
      <c r="C65" s="21"/>
      <c r="D65" s="17"/>
      <c r="E65" s="31"/>
      <c r="F65" s="21"/>
      <c r="G65" s="17"/>
      <c r="H65" s="31"/>
      <c r="I65" s="21"/>
      <c r="J65" s="17"/>
      <c r="K65" s="31"/>
      <c r="L65" s="21"/>
      <c r="M65" s="17"/>
      <c r="N65" s="31"/>
      <c r="O65" s="21"/>
      <c r="P65" s="17"/>
      <c r="Q65" s="31"/>
      <c r="R65" s="21"/>
      <c r="S65" s="17"/>
      <c r="T65" s="31"/>
      <c r="U65" s="21"/>
      <c r="V65" s="17"/>
      <c r="W65" s="31"/>
      <c r="X65" s="21"/>
      <c r="Y65" s="17"/>
      <c r="Z65" s="62"/>
      <c r="AA65" s="17"/>
      <c r="AB65" s="17"/>
      <c r="AC65" s="63"/>
      <c r="AD65" s="17"/>
      <c r="AE65" s="17"/>
      <c r="AF65" s="63"/>
      <c r="AG65" s="27"/>
      <c r="AH65" s="17"/>
      <c r="AI65" s="64"/>
      <c r="AJ65" s="21"/>
      <c r="AK65" s="17"/>
      <c r="AL65" s="64"/>
      <c r="AM65" s="65"/>
      <c r="AN65" s="66"/>
      <c r="AO65" s="67"/>
    </row>
    <row r="66" spans="2:41" ht="14.25">
      <c r="B66" s="61"/>
      <c r="C66" s="21"/>
      <c r="D66" s="17"/>
      <c r="E66" s="31"/>
      <c r="F66" s="21"/>
      <c r="G66" s="17"/>
      <c r="H66" s="31"/>
      <c r="I66" s="21"/>
      <c r="J66" s="17"/>
      <c r="K66" s="31"/>
      <c r="L66" s="21"/>
      <c r="M66" s="17"/>
      <c r="N66" s="31"/>
      <c r="O66" s="21"/>
      <c r="P66" s="17"/>
      <c r="Q66" s="31"/>
      <c r="R66" s="21"/>
      <c r="S66" s="17"/>
      <c r="T66" s="31"/>
      <c r="U66" s="21"/>
      <c r="V66" s="17"/>
      <c r="W66" s="31"/>
      <c r="X66" s="21"/>
      <c r="Y66" s="17"/>
      <c r="Z66" s="62"/>
      <c r="AA66" s="17"/>
      <c r="AB66" s="17"/>
      <c r="AC66" s="63"/>
      <c r="AD66" s="17"/>
      <c r="AE66" s="17"/>
      <c r="AF66" s="63"/>
      <c r="AG66" s="27"/>
      <c r="AH66" s="17"/>
      <c r="AI66" s="64"/>
      <c r="AJ66" s="21"/>
      <c r="AK66" s="17"/>
      <c r="AL66" s="64"/>
      <c r="AM66" s="65"/>
      <c r="AN66" s="66"/>
      <c r="AO66" s="67"/>
    </row>
    <row r="67" spans="2:41" ht="14.25">
      <c r="B67" s="61"/>
      <c r="C67" s="21"/>
      <c r="D67" s="17"/>
      <c r="E67" s="31"/>
      <c r="F67" s="21"/>
      <c r="G67" s="17"/>
      <c r="H67" s="31"/>
      <c r="I67" s="21"/>
      <c r="J67" s="17"/>
      <c r="K67" s="31"/>
      <c r="L67" s="21"/>
      <c r="M67" s="17"/>
      <c r="N67" s="31"/>
      <c r="O67" s="21"/>
      <c r="P67" s="17"/>
      <c r="Q67" s="31"/>
      <c r="R67" s="21"/>
      <c r="S67" s="17"/>
      <c r="T67" s="31"/>
      <c r="U67" s="21"/>
      <c r="V67" s="17"/>
      <c r="W67" s="31"/>
      <c r="X67" s="21"/>
      <c r="Y67" s="17"/>
      <c r="Z67" s="62"/>
      <c r="AA67" s="17"/>
      <c r="AB67" s="17"/>
      <c r="AC67" s="63"/>
      <c r="AD67" s="17"/>
      <c r="AE67" s="17"/>
      <c r="AF67" s="63"/>
      <c r="AG67" s="27"/>
      <c r="AH67" s="17"/>
      <c r="AI67" s="64"/>
      <c r="AJ67" s="21"/>
      <c r="AK67" s="17"/>
      <c r="AL67" s="64"/>
      <c r="AM67" s="65"/>
      <c r="AN67" s="66"/>
      <c r="AO67" s="67"/>
    </row>
    <row r="68" spans="2:41" ht="14.25">
      <c r="B68" s="61"/>
      <c r="C68" s="21"/>
      <c r="D68" s="17"/>
      <c r="E68" s="31"/>
      <c r="F68" s="21"/>
      <c r="G68" s="17"/>
      <c r="H68" s="31"/>
      <c r="I68" s="21"/>
      <c r="J68" s="17"/>
      <c r="K68" s="31"/>
      <c r="L68" s="21"/>
      <c r="M68" s="17"/>
      <c r="N68" s="31"/>
      <c r="O68" s="21"/>
      <c r="P68" s="17"/>
      <c r="Q68" s="31"/>
      <c r="R68" s="21"/>
      <c r="S68" s="17"/>
      <c r="T68" s="31"/>
      <c r="U68" s="21"/>
      <c r="V68" s="17"/>
      <c r="W68" s="31"/>
      <c r="X68" s="21"/>
      <c r="Y68" s="17"/>
      <c r="Z68" s="62"/>
      <c r="AA68" s="17"/>
      <c r="AB68" s="17"/>
      <c r="AC68" s="63"/>
      <c r="AD68" s="17"/>
      <c r="AE68" s="17"/>
      <c r="AF68" s="63"/>
      <c r="AG68" s="27"/>
      <c r="AH68" s="17"/>
      <c r="AI68" s="64"/>
      <c r="AJ68" s="21"/>
      <c r="AK68" s="17"/>
      <c r="AL68" s="64"/>
      <c r="AM68" s="65"/>
      <c r="AN68" s="66"/>
      <c r="AO68" s="67"/>
    </row>
    <row r="69" spans="2:41" ht="14.25">
      <c r="B69" s="61"/>
      <c r="C69" s="21"/>
      <c r="D69" s="17"/>
      <c r="E69" s="31"/>
      <c r="F69" s="21"/>
      <c r="G69" s="17"/>
      <c r="H69" s="31"/>
      <c r="I69" s="21"/>
      <c r="J69" s="17"/>
      <c r="K69" s="31"/>
      <c r="L69" s="21"/>
      <c r="M69" s="17"/>
      <c r="N69" s="31"/>
      <c r="O69" s="21"/>
      <c r="P69" s="17"/>
      <c r="Q69" s="31"/>
      <c r="R69" s="21"/>
      <c r="S69" s="17"/>
      <c r="T69" s="31"/>
      <c r="U69" s="21"/>
      <c r="V69" s="17"/>
      <c r="W69" s="31"/>
      <c r="X69" s="21"/>
      <c r="Y69" s="17"/>
      <c r="Z69" s="62"/>
      <c r="AA69" s="17"/>
      <c r="AB69" s="17"/>
      <c r="AC69" s="63"/>
      <c r="AD69" s="17"/>
      <c r="AE69" s="17"/>
      <c r="AF69" s="63"/>
      <c r="AG69" s="27"/>
      <c r="AH69" s="17"/>
      <c r="AI69" s="64"/>
      <c r="AJ69" s="21"/>
      <c r="AK69" s="17"/>
      <c r="AL69" s="64"/>
      <c r="AM69" s="65"/>
      <c r="AN69" s="66"/>
      <c r="AO69" s="67"/>
    </row>
    <row r="70" spans="2:41" ht="14.25">
      <c r="B70" s="61"/>
      <c r="C70" s="21"/>
      <c r="D70" s="17"/>
      <c r="E70" s="31"/>
      <c r="F70" s="21"/>
      <c r="G70" s="17"/>
      <c r="H70" s="31"/>
      <c r="I70" s="21"/>
      <c r="J70" s="17"/>
      <c r="K70" s="31"/>
      <c r="L70" s="21"/>
      <c r="M70" s="17"/>
      <c r="N70" s="31"/>
      <c r="O70" s="21"/>
      <c r="P70" s="17"/>
      <c r="Q70" s="31"/>
      <c r="R70" s="21"/>
      <c r="S70" s="17"/>
      <c r="T70" s="31"/>
      <c r="U70" s="21"/>
      <c r="V70" s="17"/>
      <c r="W70" s="31"/>
      <c r="X70" s="21"/>
      <c r="Y70" s="17"/>
      <c r="Z70" s="62"/>
      <c r="AA70" s="17"/>
      <c r="AB70" s="17"/>
      <c r="AC70" s="63"/>
      <c r="AD70" s="17"/>
      <c r="AE70" s="17"/>
      <c r="AF70" s="63"/>
      <c r="AG70" s="27"/>
      <c r="AH70" s="17"/>
      <c r="AI70" s="64"/>
      <c r="AJ70" s="21"/>
      <c r="AK70" s="17"/>
      <c r="AL70" s="64"/>
      <c r="AM70" s="65"/>
      <c r="AN70" s="66"/>
      <c r="AO70" s="67"/>
    </row>
    <row r="71" spans="2:38" ht="14.25">
      <c r="B71" s="44" t="s">
        <v>39</v>
      </c>
      <c r="C71" s="12"/>
      <c r="D71" s="6"/>
      <c r="E71" s="6"/>
      <c r="F71" s="6"/>
      <c r="G71" s="6"/>
      <c r="H71" s="22"/>
      <c r="I71" s="6"/>
      <c r="J71" s="6"/>
      <c r="K71" s="22"/>
      <c r="L71" s="7"/>
      <c r="M71" s="6"/>
      <c r="N71" s="22"/>
      <c r="O71" s="7"/>
      <c r="P71" s="6"/>
      <c r="Q71" s="22"/>
      <c r="R71" s="7"/>
      <c r="S71" s="6"/>
      <c r="T71" s="22"/>
      <c r="U71" s="7"/>
      <c r="V71" s="6"/>
      <c r="W71" s="22"/>
      <c r="X71" s="7"/>
      <c r="Y71" s="6"/>
      <c r="Z71" s="22"/>
      <c r="AA71" s="7"/>
      <c r="AC71" s="22"/>
      <c r="AE71" s="19"/>
      <c r="AF71" s="22"/>
      <c r="AG71" s="19"/>
      <c r="AH71" s="1"/>
      <c r="AI71" s="22"/>
      <c r="AJ71" s="1"/>
      <c r="AL71" s="22"/>
    </row>
    <row r="72" spans="2:38" ht="14.25">
      <c r="B72" s="44" t="s">
        <v>40</v>
      </c>
      <c r="C72" s="12"/>
      <c r="D72" s="6"/>
      <c r="E72" s="6"/>
      <c r="F72" s="6"/>
      <c r="G72" s="6"/>
      <c r="H72" s="22"/>
      <c r="I72" s="6"/>
      <c r="J72" s="6"/>
      <c r="K72" s="22"/>
      <c r="L72" s="7"/>
      <c r="M72" s="6"/>
      <c r="N72" s="22"/>
      <c r="O72" s="7"/>
      <c r="P72" s="6"/>
      <c r="Q72" s="22"/>
      <c r="R72" s="7"/>
      <c r="S72" s="6"/>
      <c r="T72" s="22"/>
      <c r="U72" s="7"/>
      <c r="V72" s="6"/>
      <c r="W72" s="22"/>
      <c r="X72" s="7"/>
      <c r="Y72" s="6"/>
      <c r="Z72" s="22"/>
      <c r="AA72" s="7"/>
      <c r="AC72" s="22"/>
      <c r="AE72" s="19"/>
      <c r="AF72" s="22"/>
      <c r="AG72" s="19"/>
      <c r="AH72" s="1"/>
      <c r="AI72" s="22"/>
      <c r="AJ72" s="1"/>
      <c r="AL72" s="22"/>
    </row>
    <row r="73" spans="2:38" ht="14.25">
      <c r="B73" s="89" t="s">
        <v>45</v>
      </c>
      <c r="C73" s="12"/>
      <c r="D73" s="6"/>
      <c r="E73" s="6"/>
      <c r="F73" s="6"/>
      <c r="G73" s="6"/>
      <c r="H73" s="22"/>
      <c r="I73" s="6"/>
      <c r="J73" s="6"/>
      <c r="K73" s="22"/>
      <c r="L73" s="7"/>
      <c r="M73" s="6"/>
      <c r="N73" s="22"/>
      <c r="O73" s="7"/>
      <c r="P73" s="6"/>
      <c r="Q73" s="22"/>
      <c r="R73" s="7"/>
      <c r="S73" s="6"/>
      <c r="T73" s="22"/>
      <c r="U73" s="7"/>
      <c r="V73" s="6"/>
      <c r="W73" s="22"/>
      <c r="X73" s="7"/>
      <c r="Y73" s="6"/>
      <c r="Z73" s="22"/>
      <c r="AA73" s="7"/>
      <c r="AC73" s="22"/>
      <c r="AE73" s="19"/>
      <c r="AF73" s="22"/>
      <c r="AG73" s="19"/>
      <c r="AH73" s="1"/>
      <c r="AI73" s="22"/>
      <c r="AJ73" s="1"/>
      <c r="AL73" s="22"/>
    </row>
    <row r="74" spans="2:38" ht="14.25">
      <c r="B74" s="89" t="s">
        <v>46</v>
      </c>
      <c r="C74" s="12"/>
      <c r="D74" s="6"/>
      <c r="E74" s="6"/>
      <c r="F74" s="6"/>
      <c r="G74" s="6"/>
      <c r="H74" s="22"/>
      <c r="I74" s="6"/>
      <c r="J74" s="6"/>
      <c r="K74" s="22"/>
      <c r="L74" s="7"/>
      <c r="M74" s="6"/>
      <c r="N74" s="22"/>
      <c r="O74" s="7"/>
      <c r="P74" s="6"/>
      <c r="Q74" s="22"/>
      <c r="R74" s="7"/>
      <c r="S74" s="6"/>
      <c r="T74" s="22"/>
      <c r="U74" s="7"/>
      <c r="V74" s="6"/>
      <c r="W74" s="22"/>
      <c r="X74" s="7"/>
      <c r="Y74" s="6"/>
      <c r="Z74" s="22"/>
      <c r="AA74" s="7"/>
      <c r="AC74" s="22"/>
      <c r="AE74" s="19"/>
      <c r="AF74" s="22"/>
      <c r="AG74" s="19"/>
      <c r="AH74" s="1"/>
      <c r="AI74" s="22"/>
      <c r="AJ74" s="1"/>
      <c r="AL74" s="22"/>
    </row>
    <row r="75" spans="2:38" ht="14.25">
      <c r="B75" s="44"/>
      <c r="C75" s="12"/>
      <c r="D75" s="6"/>
      <c r="E75" s="6"/>
      <c r="F75" s="6"/>
      <c r="G75" s="6"/>
      <c r="H75" s="22"/>
      <c r="I75" s="6"/>
      <c r="J75" s="6"/>
      <c r="K75" s="22"/>
      <c r="L75" s="7"/>
      <c r="M75" s="6"/>
      <c r="N75" s="22"/>
      <c r="O75" s="7"/>
      <c r="P75" s="6"/>
      <c r="Q75" s="22"/>
      <c r="R75" s="7"/>
      <c r="S75" s="6"/>
      <c r="T75" s="22"/>
      <c r="U75" s="7"/>
      <c r="V75" s="6"/>
      <c r="W75" s="22"/>
      <c r="X75" s="7"/>
      <c r="Y75" s="6"/>
      <c r="Z75" s="22"/>
      <c r="AA75" s="7"/>
      <c r="AC75" s="22"/>
      <c r="AE75" s="19"/>
      <c r="AF75" s="22"/>
      <c r="AG75" s="19"/>
      <c r="AH75" s="1"/>
      <c r="AI75" s="22"/>
      <c r="AJ75" s="1"/>
      <c r="AL75" s="22"/>
    </row>
    <row r="76" spans="2:38" ht="14.25">
      <c r="B76" s="36" t="s">
        <v>34</v>
      </c>
      <c r="C76" s="37"/>
      <c r="D76" s="37"/>
      <c r="E76" s="37"/>
      <c r="F76" s="37"/>
      <c r="G76" s="37"/>
      <c r="H76" s="38"/>
      <c r="I76" s="37"/>
      <c r="J76" s="37"/>
      <c r="K76" s="38"/>
      <c r="L76" s="37"/>
      <c r="M76" s="39"/>
      <c r="N76" s="22"/>
      <c r="O76" s="2"/>
      <c r="P76" s="2"/>
      <c r="Q76" s="22"/>
      <c r="T76" s="22"/>
      <c r="W76" s="22"/>
      <c r="Z76" s="22"/>
      <c r="AC76" s="22"/>
      <c r="AF76" s="22"/>
      <c r="AI76" s="22"/>
      <c r="AL76" s="22"/>
    </row>
    <row r="77" spans="2:17" ht="14.25">
      <c r="B77" s="40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9"/>
      <c r="N77" s="2"/>
      <c r="O77" s="2"/>
      <c r="P77" s="2"/>
      <c r="Q77" s="2"/>
    </row>
    <row r="78" spans="2:13" ht="40.5" customHeight="1">
      <c r="B78" s="212" t="s">
        <v>35</v>
      </c>
      <c r="C78" s="212"/>
      <c r="D78" s="212"/>
      <c r="E78" s="212"/>
      <c r="F78" s="212"/>
      <c r="G78" s="212"/>
      <c r="H78" s="212"/>
      <c r="I78" s="212"/>
      <c r="J78" s="212"/>
      <c r="K78" s="212"/>
      <c r="L78" s="212"/>
      <c r="M78" s="212"/>
    </row>
    <row r="79" spans="2:13" ht="14.25">
      <c r="B79" s="41" t="s">
        <v>36</v>
      </c>
      <c r="C79" s="39"/>
      <c r="D79" s="37"/>
      <c r="E79" s="37"/>
      <c r="F79" s="37"/>
      <c r="G79" s="37"/>
      <c r="H79" s="37"/>
      <c r="I79" s="37"/>
      <c r="J79" s="37"/>
      <c r="K79" s="37"/>
      <c r="L79" s="37"/>
      <c r="M79" s="37"/>
    </row>
    <row r="80" spans="2:13" ht="14.25">
      <c r="B80" s="41"/>
      <c r="C80" s="39"/>
      <c r="D80" s="37"/>
      <c r="E80" s="37"/>
      <c r="F80" s="37"/>
      <c r="G80" s="37"/>
      <c r="H80" s="37"/>
      <c r="I80" s="37"/>
      <c r="J80" s="37"/>
      <c r="K80" s="37"/>
      <c r="L80" s="37"/>
      <c r="M80" s="37"/>
    </row>
    <row r="81" spans="2:13" ht="14.25">
      <c r="B81" s="35" t="s">
        <v>48</v>
      </c>
      <c r="C81" s="39"/>
      <c r="D81" s="42"/>
      <c r="E81" s="37"/>
      <c r="F81" s="37"/>
      <c r="G81" s="37"/>
      <c r="H81" s="37"/>
      <c r="I81" s="37"/>
      <c r="J81" s="37"/>
      <c r="K81" s="37"/>
      <c r="L81" s="43"/>
      <c r="M81" s="37"/>
    </row>
    <row r="82" spans="2:13" ht="14.25">
      <c r="B82" s="211"/>
      <c r="C82" s="211"/>
      <c r="D82" s="211"/>
      <c r="E82" s="211"/>
      <c r="F82" s="211"/>
      <c r="G82" s="211"/>
      <c r="H82" s="211"/>
      <c r="I82" s="211"/>
      <c r="J82" s="211"/>
      <c r="K82" s="211"/>
      <c r="L82" s="211"/>
      <c r="M82" s="37"/>
    </row>
    <row r="83" ht="14.25">
      <c r="B83" s="36" t="s">
        <v>51</v>
      </c>
    </row>
  </sheetData>
  <sheetProtection/>
  <mergeCells count="48">
    <mergeCell ref="B2:P2"/>
    <mergeCell ref="B3:P3"/>
    <mergeCell ref="AZ7:BB7"/>
    <mergeCell ref="AY40:BA40"/>
    <mergeCell ref="AV40:AX40"/>
    <mergeCell ref="AS40:AU40"/>
    <mergeCell ref="D7:F7"/>
    <mergeCell ref="AJ40:AL40"/>
    <mergeCell ref="AM40:AO40"/>
    <mergeCell ref="AN7:AP7"/>
    <mergeCell ref="AW7:AY7"/>
    <mergeCell ref="AD40:AF40"/>
    <mergeCell ref="AK7:AM7"/>
    <mergeCell ref="AP40:AR40"/>
    <mergeCell ref="AQ7:AS7"/>
    <mergeCell ref="AT7:AV7"/>
    <mergeCell ref="AE7:AG7"/>
    <mergeCell ref="AG40:AI40"/>
    <mergeCell ref="AB7:AD7"/>
    <mergeCell ref="R40:T40"/>
    <mergeCell ref="U40:W40"/>
    <mergeCell ref="X40:Z40"/>
    <mergeCell ref="S7:U7"/>
    <mergeCell ref="G7:I7"/>
    <mergeCell ref="O40:Q40"/>
    <mergeCell ref="Y7:AA7"/>
    <mergeCell ref="M7:O7"/>
    <mergeCell ref="P7:R7"/>
    <mergeCell ref="J7:L7"/>
    <mergeCell ref="BB40:BD40"/>
    <mergeCell ref="B82:L82"/>
    <mergeCell ref="C40:E40"/>
    <mergeCell ref="F40:H40"/>
    <mergeCell ref="I40:K40"/>
    <mergeCell ref="L40:N40"/>
    <mergeCell ref="AA40:AC40"/>
    <mergeCell ref="B78:M78"/>
    <mergeCell ref="V7:X7"/>
    <mergeCell ref="BF7:BH7"/>
    <mergeCell ref="D6:BH6"/>
    <mergeCell ref="BE40:BG40"/>
    <mergeCell ref="B39:B41"/>
    <mergeCell ref="B36:BD36"/>
    <mergeCell ref="B37:BD37"/>
    <mergeCell ref="BC7:BE7"/>
    <mergeCell ref="AH7:AJ7"/>
    <mergeCell ref="B6:B8"/>
    <mergeCell ref="C6:C8"/>
  </mergeCells>
  <hyperlinks>
    <hyperlink ref="B73" r:id="rId1" display="https://www.indec.gov.ar/nuevaweb/cuadros/2/estimaciones-serie34.pdf"/>
    <hyperlink ref="B74" r:id="rId2" display="https://www.indec.gob.ar/bajarCuadroEstadistico.asp?idc=49EDEB0DE91FA992D73D7D1520B774813400458ED8029A293169A3AEE08A74142C8640B7AC254DC0"/>
  </hyperlinks>
  <printOptions/>
  <pageMargins left="0.5118110236220472" right="0.7086614173228347" top="0.7480314960629921" bottom="0.7480314960629921" header="0.31496062992125984" footer="0.31496062992125984"/>
  <pageSetup fitToHeight="0" fitToWidth="1" horizontalDpi="720" verticalDpi="720" orientation="landscape" paperSize="66" scale="3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C2:C25"/>
  <sheetViews>
    <sheetView zoomScalePageLayoutView="0" workbookViewId="0" topLeftCell="A1">
      <selection activeCell="C2" sqref="C2:C25"/>
    </sheetView>
  </sheetViews>
  <sheetFormatPr defaultColWidth="11.421875" defaultRowHeight="15"/>
  <sheetData>
    <row r="2" ht="14.25">
      <c r="C2">
        <v>601618</v>
      </c>
    </row>
    <row r="3" ht="14.25">
      <c r="C3">
        <v>357440</v>
      </c>
    </row>
    <row r="4" ht="14.25">
      <c r="C4">
        <v>369294</v>
      </c>
    </row>
    <row r="5" ht="14.25">
      <c r="C5">
        <v>377237</v>
      </c>
    </row>
    <row r="6" ht="14.25">
      <c r="C6">
        <v>224228</v>
      </c>
    </row>
    <row r="7" ht="14.25">
      <c r="C7">
        <v>525270</v>
      </c>
    </row>
    <row r="8" ht="14.25">
      <c r="C8">
        <v>425911</v>
      </c>
    </row>
    <row r="9" ht="14.25">
      <c r="C9">
        <v>194597</v>
      </c>
    </row>
    <row r="10" ht="14.25">
      <c r="C10">
        <v>182011</v>
      </c>
    </row>
    <row r="11" ht="14.25">
      <c r="C11">
        <v>311187</v>
      </c>
    </row>
    <row r="12" ht="14.25">
      <c r="C12">
        <v>2327874</v>
      </c>
    </row>
    <row r="13" ht="14.25">
      <c r="C13">
        <v>462760</v>
      </c>
    </row>
    <row r="14" ht="14.25">
      <c r="C14">
        <v>650678</v>
      </c>
    </row>
    <row r="15" ht="14.25">
      <c r="C15">
        <v>363263</v>
      </c>
    </row>
    <row r="16" ht="14.25">
      <c r="C16">
        <v>613509</v>
      </c>
    </row>
    <row r="17" ht="14.25">
      <c r="C17">
        <v>549930</v>
      </c>
    </row>
    <row r="18" ht="14.25">
      <c r="C18">
        <v>318104</v>
      </c>
    </row>
    <row r="19" ht="14.25">
      <c r="C19">
        <v>672199</v>
      </c>
    </row>
    <row r="20" ht="14.25">
      <c r="C20">
        <v>175845</v>
      </c>
    </row>
    <row r="21" ht="14.25">
      <c r="C21">
        <v>291963</v>
      </c>
    </row>
    <row r="22" ht="14.25">
      <c r="C22">
        <v>306469</v>
      </c>
    </row>
    <row r="23" ht="14.25">
      <c r="C23">
        <v>470776</v>
      </c>
    </row>
    <row r="24" ht="14.25">
      <c r="C24">
        <v>344117</v>
      </c>
    </row>
    <row r="25" ht="14.25">
      <c r="C25">
        <v>267257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C2:D26"/>
  <sheetViews>
    <sheetView zoomScalePageLayoutView="0" workbookViewId="0" topLeftCell="A1">
      <selection activeCell="I7" sqref="I7"/>
    </sheetView>
  </sheetViews>
  <sheetFormatPr defaultColWidth="11.421875" defaultRowHeight="15"/>
  <cols>
    <col min="3" max="3" width="26.28125" style="0" customWidth="1"/>
  </cols>
  <sheetData>
    <row r="2" spans="3:4" ht="14.25">
      <c r="C2" t="s">
        <v>49</v>
      </c>
      <c r="D2" t="s">
        <v>50</v>
      </c>
    </row>
    <row r="3" spans="3:4" ht="14.25">
      <c r="C3" s="13" t="s">
        <v>2</v>
      </c>
      <c r="D3" s="162">
        <v>2.152829921185422</v>
      </c>
    </row>
    <row r="4" spans="3:4" ht="14.25">
      <c r="C4" s="13" t="s">
        <v>17</v>
      </c>
      <c r="D4" s="133">
        <v>3.58399481411533</v>
      </c>
    </row>
    <row r="5" spans="3:4" ht="14.25">
      <c r="C5" s="13" t="s">
        <v>11</v>
      </c>
      <c r="D5" s="133">
        <v>3.9253165853159024</v>
      </c>
    </row>
    <row r="6" spans="3:4" ht="14.25">
      <c r="C6" s="13" t="s">
        <v>28</v>
      </c>
      <c r="D6" s="133">
        <v>4.224044891133962</v>
      </c>
    </row>
    <row r="7" spans="3:4" ht="14.25">
      <c r="C7" s="91" t="s">
        <v>29</v>
      </c>
      <c r="D7" s="143">
        <v>4.254233758210694</v>
      </c>
    </row>
    <row r="8" spans="3:4" ht="14.25">
      <c r="C8" s="91" t="s">
        <v>9</v>
      </c>
      <c r="D8" s="161">
        <v>6.205631440047463</v>
      </c>
    </row>
    <row r="9" spans="3:4" ht="14.25">
      <c r="C9" s="13" t="s">
        <v>20</v>
      </c>
      <c r="D9" s="133">
        <v>6.561769490505939</v>
      </c>
    </row>
    <row r="10" spans="3:4" ht="14.25">
      <c r="C10" s="91" t="s">
        <v>10</v>
      </c>
      <c r="D10" s="141">
        <v>6.6300462410459104</v>
      </c>
    </row>
    <row r="11" spans="3:4" ht="14.25">
      <c r="C11" s="13" t="s">
        <v>14</v>
      </c>
      <c r="D11" s="133">
        <v>7.222921638050621</v>
      </c>
    </row>
    <row r="12" spans="3:4" ht="14.25">
      <c r="C12" s="91" t="s">
        <v>7</v>
      </c>
      <c r="D12" s="143">
        <v>8.054268907905104</v>
      </c>
    </row>
    <row r="13" spans="3:4" ht="14.25">
      <c r="C13" s="91" t="s">
        <v>19</v>
      </c>
      <c r="D13" s="143">
        <v>8.724621961119851</v>
      </c>
    </row>
    <row r="14" spans="3:4" ht="14.25">
      <c r="C14" s="13" t="s">
        <v>4</v>
      </c>
      <c r="D14" s="133">
        <v>8.811447971423265</v>
      </c>
    </row>
    <row r="15" spans="3:4" ht="14.25">
      <c r="C15" s="91" t="s">
        <v>12</v>
      </c>
      <c r="D15" s="141">
        <v>8.854258898530192</v>
      </c>
    </row>
    <row r="16" spans="3:4" ht="14.25">
      <c r="C16" s="13" t="s">
        <v>13</v>
      </c>
      <c r="D16" s="133">
        <v>9.5392676120508</v>
      </c>
    </row>
    <row r="17" spans="3:4" ht="14.25">
      <c r="C17" s="91" t="s">
        <v>25</v>
      </c>
      <c r="D17" s="141">
        <v>9.772929157388658</v>
      </c>
    </row>
    <row r="18" spans="3:4" ht="14.25">
      <c r="C18" s="91" t="s">
        <v>18</v>
      </c>
      <c r="D18" s="141">
        <v>11.110981838489371</v>
      </c>
    </row>
    <row r="19" spans="3:4" ht="14.25">
      <c r="C19" s="13" t="s">
        <v>6</v>
      </c>
      <c r="D19" s="133">
        <v>13.303451734053766</v>
      </c>
    </row>
    <row r="20" spans="3:4" ht="14.25">
      <c r="C20" s="91" t="s">
        <v>23</v>
      </c>
      <c r="D20" s="141">
        <v>14.155636377385958</v>
      </c>
    </row>
    <row r="21" spans="3:4" ht="14.25">
      <c r="C21" s="13" t="s">
        <v>8</v>
      </c>
      <c r="D21" s="133">
        <v>16.511898608017194</v>
      </c>
    </row>
    <row r="22" spans="3:4" ht="14.25">
      <c r="C22" s="13" t="s">
        <v>1</v>
      </c>
      <c r="D22" s="135">
        <v>16.842498577587303</v>
      </c>
    </row>
    <row r="23" spans="3:4" ht="14.25">
      <c r="C23" s="91" t="s">
        <v>15</v>
      </c>
      <c r="D23" s="141">
        <v>19.284898489037566</v>
      </c>
    </row>
    <row r="24" spans="3:4" ht="14.25">
      <c r="C24" s="13" t="s">
        <v>16</v>
      </c>
      <c r="D24" s="133">
        <v>20.607830975770792</v>
      </c>
    </row>
    <row r="25" spans="3:4" ht="14.25">
      <c r="C25" s="91" t="s">
        <v>5</v>
      </c>
      <c r="D25" s="141">
        <v>25.264038873517414</v>
      </c>
    </row>
    <row r="26" spans="3:4" ht="14.25">
      <c r="C26" s="91" t="s">
        <v>3</v>
      </c>
      <c r="D26" s="141" t="s"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Julian</dc:creator>
  <cp:keywords/>
  <dc:description/>
  <cp:lastModifiedBy>Georg Pietruschka</cp:lastModifiedBy>
  <cp:lastPrinted>2024-02-21T15:33:34Z</cp:lastPrinted>
  <dcterms:created xsi:type="dcterms:W3CDTF">2011-11-23T04:00:15Z</dcterms:created>
  <dcterms:modified xsi:type="dcterms:W3CDTF">2024-02-21T15:33:58Z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