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59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<sst xmlns="http://schemas.openxmlformats.org/spreadsheetml/2006/main" count="159" uniqueCount="21">
  <si>
    <t>Total país</t>
  </si>
  <si>
    <t>Total</t>
  </si>
  <si>
    <t>Sin especificar</t>
  </si>
  <si>
    <t>Secundaria completa y +</t>
  </si>
  <si>
    <t>Secundaria incompleta</t>
  </si>
  <si>
    <t>Primario completo</t>
  </si>
  <si>
    <t>Primario incompleto</t>
  </si>
  <si>
    <t>Sin instrucción</t>
  </si>
  <si>
    <t>24 Partidos del Conurbano</t>
  </si>
  <si>
    <t xml:space="preserve">Nacidos vivos de madres adolescentes (de 14 a 19 años) según máximo nivel de instrucción alcanzado y lugar de residencia de la madre (cantidad y %) </t>
  </si>
  <si>
    <t>Provincia de Buenos Aires</t>
  </si>
  <si>
    <t>CABA</t>
  </si>
  <si>
    <t>Absoluto</t>
  </si>
  <si>
    <t>Región</t>
  </si>
  <si>
    <t>Como %</t>
  </si>
  <si>
    <t>http://www.deis.msal.gov.ar/index.php/boletines-2/</t>
  </si>
  <si>
    <t>-</t>
  </si>
  <si>
    <t>Comparación interanual 2012-2018</t>
  </si>
  <si>
    <t>Comparación interanual 2008-2018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</si>
  <si>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Elaboración propia en base a datos de la Dirección de Estadística e Información de Salud. Ministerio de Salud de la Nación. Boletines de población de 10 a 19 años 2008 a 2019.</t>
    </r>
  </si>
  <si>
    <t>24 partidos del Conurbano Bonaerense, Provincia de Buenos Aires y Total país. 2008 y 2019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</si>
</sst>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2C0A]dddd\,\ dd&quot; de &quot;mmmm&quot; de &quot;yyyy"/>
    <numFmt numFmtId="178" formatCode="[$-2C0A]hh:mm:ss\ AM/PM"/>
    <numFmt numFmtId="179" formatCode="#,##0.0"/>
  </numFmts>
  <fonts count="5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Times New Roman"/>
      <family val="2"/>
    </font>
    <font>
      <u val="single"/>
      <sz val="12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9"/>
      <color indexed="30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Times New Roman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u val="single"/>
      <sz val="9"/>
      <color theme="10"/>
      <name val="Calibri"/>
      <family val="2"/>
    </font>
    <font>
      <b/>
      <sz val="12"/>
      <color theme="1"/>
      <name val="Times New Roman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50" fillId="0" borderId="0" xfId="0" applyFont="1" applyAlignment="1">
      <alignment/>
    </xf>
    <xf numFmtId="3" fontId="31" fillId="33" borderId="10" xfId="0" applyNumberFormat="1" applyFont="1" applyFill="1" applyBorder="1" applyAlignment="1">
      <alignment horizontal="right" vertical="center"/>
    </xf>
    <xf numFmtId="0" fontId="51" fillId="0" borderId="0" xfId="46" applyFont="1" applyAlignment="1">
      <alignment/>
    </xf>
    <xf numFmtId="3" fontId="31" fillId="33" borderId="10" xfId="0" applyNumberFormat="1" applyFont="1" applyFill="1" applyBorder="1" applyAlignment="1">
      <alignment horizontal="right"/>
    </xf>
    <xf numFmtId="3" fontId="31" fillId="33" borderId="0" xfId="0" applyNumberFormat="1" applyFont="1" applyFill="1" applyBorder="1" applyAlignment="1">
      <alignment horizontal="right" vertical="center"/>
    </xf>
    <xf numFmtId="3" fontId="31" fillId="33" borderId="0" xfId="0" applyNumberFormat="1" applyFont="1" applyFill="1" applyBorder="1" applyAlignment="1">
      <alignment horizontal="right"/>
    </xf>
    <xf numFmtId="0" fontId="31" fillId="33" borderId="11" xfId="0" applyFont="1" applyFill="1" applyBorder="1" applyAlignment="1">
      <alignment/>
    </xf>
    <xf numFmtId="3" fontId="31" fillId="33" borderId="11" xfId="0" applyNumberFormat="1" applyFont="1" applyFill="1" applyBorder="1" applyAlignment="1">
      <alignment horizontal="right" vertical="center"/>
    </xf>
    <xf numFmtId="3" fontId="31" fillId="33" borderId="11" xfId="0" applyNumberFormat="1" applyFont="1" applyFill="1" applyBorder="1" applyAlignment="1">
      <alignment horizontal="right"/>
    </xf>
    <xf numFmtId="0" fontId="50" fillId="34" borderId="0" xfId="0" applyFont="1" applyFill="1" applyAlignment="1">
      <alignment/>
    </xf>
    <xf numFmtId="0" fontId="35" fillId="35" borderId="12" xfId="0" applyFont="1" applyFill="1" applyBorder="1" applyAlignment="1">
      <alignment horizontal="center" vertical="center" wrapText="1"/>
    </xf>
    <xf numFmtId="0" fontId="35" fillId="35" borderId="13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5" xfId="0" applyFont="1" applyFill="1" applyBorder="1" applyAlignment="1">
      <alignment wrapText="1"/>
    </xf>
    <xf numFmtId="0" fontId="35" fillId="35" borderId="16" xfId="0" applyFont="1" applyFill="1" applyBorder="1" applyAlignment="1">
      <alignment horizontal="center" vertical="center"/>
    </xf>
    <xf numFmtId="0" fontId="35" fillId="35" borderId="17" xfId="0" applyFont="1" applyFill="1" applyBorder="1" applyAlignment="1">
      <alignment horizontal="center" vertical="center" wrapText="1"/>
    </xf>
    <xf numFmtId="0" fontId="31" fillId="36" borderId="11" xfId="0" applyFont="1" applyFill="1" applyBorder="1" applyAlignment="1">
      <alignment/>
    </xf>
    <xf numFmtId="3" fontId="31" fillId="36" borderId="0" xfId="0" applyNumberFormat="1" applyFont="1" applyFill="1" applyBorder="1" applyAlignment="1">
      <alignment horizontal="right" vertical="center"/>
    </xf>
    <xf numFmtId="3" fontId="31" fillId="36" borderId="10" xfId="0" applyNumberFormat="1" applyFont="1" applyFill="1" applyBorder="1" applyAlignment="1">
      <alignment horizontal="right" vertical="center"/>
    </xf>
    <xf numFmtId="3" fontId="31" fillId="36" borderId="11" xfId="0" applyNumberFormat="1" applyFont="1" applyFill="1" applyBorder="1" applyAlignment="1">
      <alignment horizontal="right" vertical="center"/>
    </xf>
    <xf numFmtId="3" fontId="31" fillId="36" borderId="0" xfId="0" applyNumberFormat="1" applyFont="1" applyFill="1" applyBorder="1" applyAlignment="1">
      <alignment horizontal="right"/>
    </xf>
    <xf numFmtId="3" fontId="31" fillId="36" borderId="10" xfId="0" applyNumberFormat="1" applyFont="1" applyFill="1" applyBorder="1" applyAlignment="1">
      <alignment horizontal="right"/>
    </xf>
    <xf numFmtId="3" fontId="31" fillId="36" borderId="11" xfId="0" applyNumberFormat="1" applyFont="1" applyFill="1" applyBorder="1" applyAlignment="1">
      <alignment horizontal="right"/>
    </xf>
    <xf numFmtId="3" fontId="25" fillId="0" borderId="18" xfId="0" applyNumberFormat="1" applyFont="1" applyFill="1" applyBorder="1" applyAlignment="1">
      <alignment/>
    </xf>
    <xf numFmtId="3" fontId="25" fillId="36" borderId="18" xfId="0" applyNumberFormat="1" applyFont="1" applyFill="1" applyBorder="1" applyAlignment="1">
      <alignment/>
    </xf>
    <xf numFmtId="3" fontId="31" fillId="36" borderId="19" xfId="0" applyNumberFormat="1" applyFont="1" applyFill="1" applyBorder="1" applyAlignment="1">
      <alignment vertical="center"/>
    </xf>
    <xf numFmtId="3" fontId="31" fillId="36" borderId="20" xfId="0" applyNumberFormat="1" applyFont="1" applyFill="1" applyBorder="1" applyAlignment="1">
      <alignment vertical="center"/>
    </xf>
    <xf numFmtId="3" fontId="31" fillId="36" borderId="21" xfId="0" applyNumberFormat="1" applyFont="1" applyFill="1" applyBorder="1" applyAlignment="1">
      <alignment vertical="center"/>
    </xf>
    <xf numFmtId="3" fontId="31" fillId="33" borderId="18" xfId="0" applyNumberFormat="1" applyFont="1" applyFill="1" applyBorder="1" applyAlignment="1">
      <alignment horizontal="right" vertical="center"/>
    </xf>
    <xf numFmtId="3" fontId="31" fillId="36" borderId="18" xfId="0" applyNumberFormat="1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/>
    </xf>
    <xf numFmtId="3" fontId="25" fillId="36" borderId="11" xfId="0" applyNumberFormat="1" applyFont="1" applyFill="1" applyBorder="1" applyAlignment="1">
      <alignment/>
    </xf>
    <xf numFmtId="3" fontId="31" fillId="33" borderId="14" xfId="0" applyNumberFormat="1" applyFont="1" applyFill="1" applyBorder="1" applyAlignment="1">
      <alignment horizontal="right" vertical="center"/>
    </xf>
    <xf numFmtId="3" fontId="31" fillId="0" borderId="11" xfId="0" applyNumberFormat="1" applyFont="1" applyFill="1" applyBorder="1" applyAlignment="1">
      <alignment horizontal="right" vertical="center"/>
    </xf>
    <xf numFmtId="0" fontId="52" fillId="0" borderId="0" xfId="0" applyFont="1" applyAlignment="1">
      <alignment/>
    </xf>
    <xf numFmtId="0" fontId="31" fillId="36" borderId="14" xfId="0" applyFont="1" applyFill="1" applyBorder="1" applyAlignment="1">
      <alignment/>
    </xf>
    <xf numFmtId="3" fontId="31" fillId="36" borderId="16" xfId="0" applyNumberFormat="1" applyFont="1" applyFill="1" applyBorder="1" applyAlignment="1">
      <alignment horizontal="right" vertical="center"/>
    </xf>
    <xf numFmtId="3" fontId="31" fillId="36" borderId="12" xfId="0" applyNumberFormat="1" applyFont="1" applyFill="1" applyBorder="1" applyAlignment="1">
      <alignment horizontal="right" vertical="center"/>
    </xf>
    <xf numFmtId="3" fontId="31" fillId="36" borderId="13" xfId="0" applyNumberFormat="1" applyFont="1" applyFill="1" applyBorder="1" applyAlignment="1">
      <alignment horizontal="right" vertical="center"/>
    </xf>
    <xf numFmtId="3" fontId="31" fillId="36" borderId="14" xfId="0" applyNumberFormat="1" applyFont="1" applyFill="1" applyBorder="1" applyAlignment="1">
      <alignment horizontal="right" vertical="center"/>
    </xf>
    <xf numFmtId="3" fontId="31" fillId="36" borderId="12" xfId="0" applyNumberFormat="1" applyFont="1" applyFill="1" applyBorder="1" applyAlignment="1">
      <alignment horizontal="right"/>
    </xf>
    <xf numFmtId="3" fontId="31" fillId="36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9" fillId="33" borderId="11" xfId="0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49" fillId="33" borderId="22" xfId="0" applyNumberFormat="1" applyFont="1" applyFill="1" applyBorder="1" applyAlignment="1">
      <alignment horizontal="right" vertical="center"/>
    </xf>
    <xf numFmtId="3" fontId="49" fillId="33" borderId="15" xfId="0" applyNumberFormat="1" applyFont="1" applyFill="1" applyBorder="1" applyAlignment="1">
      <alignment horizontal="right" vertical="center"/>
    </xf>
    <xf numFmtId="3" fontId="49" fillId="33" borderId="23" xfId="0" applyNumberFormat="1" applyFont="1" applyFill="1" applyBorder="1" applyAlignment="1">
      <alignment horizontal="right" vertical="center"/>
    </xf>
    <xf numFmtId="3" fontId="49" fillId="33" borderId="24" xfId="0" applyNumberFormat="1" applyFont="1" applyFill="1" applyBorder="1" applyAlignment="1">
      <alignment horizontal="right" vertical="center"/>
    </xf>
    <xf numFmtId="3" fontId="49" fillId="33" borderId="15" xfId="0" applyNumberFormat="1" applyFont="1" applyFill="1" applyBorder="1" applyAlignment="1">
      <alignment horizontal="right"/>
    </xf>
    <xf numFmtId="3" fontId="49" fillId="33" borderId="23" xfId="0" applyNumberFormat="1" applyFont="1" applyFill="1" applyBorder="1" applyAlignment="1">
      <alignment horizontal="right"/>
    </xf>
    <xf numFmtId="0" fontId="49" fillId="36" borderId="24" xfId="0" applyFont="1" applyFill="1" applyBorder="1" applyAlignment="1">
      <alignment/>
    </xf>
    <xf numFmtId="3" fontId="49" fillId="36" borderId="24" xfId="0" applyNumberFormat="1" applyFont="1" applyFill="1" applyBorder="1" applyAlignment="1">
      <alignment horizontal="right"/>
    </xf>
    <xf numFmtId="3" fontId="49" fillId="36" borderId="24" xfId="0" applyNumberFormat="1" applyFont="1" applyFill="1" applyBorder="1" applyAlignment="1">
      <alignment horizontal="right" vertical="center"/>
    </xf>
    <xf numFmtId="0" fontId="53" fillId="0" borderId="0" xfId="0" applyFont="1" applyAlignment="1">
      <alignment/>
    </xf>
    <xf numFmtId="4" fontId="31" fillId="36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4" fontId="49" fillId="36" borderId="15" xfId="0" applyNumberFormat="1" applyFont="1" applyFill="1" applyBorder="1" applyAlignment="1">
      <alignment horizontal="right" vertical="center"/>
    </xf>
    <xf numFmtId="3" fontId="25" fillId="36" borderId="16" xfId="0" applyNumberFormat="1" applyFont="1" applyFill="1" applyBorder="1" applyAlignment="1">
      <alignment horizontal="right"/>
    </xf>
    <xf numFmtId="3" fontId="25" fillId="36" borderId="14" xfId="0" applyNumberFormat="1" applyFont="1" applyFill="1" applyBorder="1" applyAlignment="1">
      <alignment horizontal="right"/>
    </xf>
    <xf numFmtId="10" fontId="31" fillId="33" borderId="18" xfId="0" applyNumberFormat="1" applyFont="1" applyFill="1" applyBorder="1" applyAlignment="1">
      <alignment horizontal="right"/>
    </xf>
    <xf numFmtId="10" fontId="31" fillId="33" borderId="11" xfId="0" applyNumberFormat="1" applyFont="1" applyFill="1" applyBorder="1" applyAlignment="1">
      <alignment horizontal="right"/>
    </xf>
    <xf numFmtId="10" fontId="31" fillId="36" borderId="18" xfId="0" applyNumberFormat="1" applyFont="1" applyFill="1" applyBorder="1" applyAlignment="1">
      <alignment horizontal="right"/>
    </xf>
    <xf numFmtId="10" fontId="31" fillId="36" borderId="11" xfId="0" applyNumberFormat="1" applyFont="1" applyFill="1" applyBorder="1" applyAlignment="1">
      <alignment horizontal="right"/>
    </xf>
    <xf numFmtId="10" fontId="49" fillId="36" borderId="22" xfId="0" applyNumberFormat="1" applyFont="1" applyFill="1" applyBorder="1" applyAlignment="1">
      <alignment horizontal="right"/>
    </xf>
    <xf numFmtId="10" fontId="49" fillId="36" borderId="24" xfId="0" applyNumberFormat="1" applyFont="1" applyFill="1" applyBorder="1" applyAlignment="1">
      <alignment horizontal="right"/>
    </xf>
    <xf numFmtId="4" fontId="31" fillId="33" borderId="0" xfId="0" applyNumberFormat="1" applyFont="1" applyFill="1" applyBorder="1" applyAlignment="1">
      <alignment horizontal="right" vertical="center"/>
    </xf>
    <xf numFmtId="4" fontId="31" fillId="33" borderId="10" xfId="0" applyNumberFormat="1" applyFont="1" applyFill="1" applyBorder="1" applyAlignment="1">
      <alignment horizontal="right" vertical="center"/>
    </xf>
    <xf numFmtId="4" fontId="31" fillId="36" borderId="10" xfId="0" applyNumberFormat="1" applyFont="1" applyFill="1" applyBorder="1" applyAlignment="1">
      <alignment horizontal="right" vertical="center"/>
    </xf>
    <xf numFmtId="4" fontId="49" fillId="36" borderId="23" xfId="0" applyNumberFormat="1" applyFont="1" applyFill="1" applyBorder="1" applyAlignment="1">
      <alignment horizontal="right" vertical="center"/>
    </xf>
    <xf numFmtId="4" fontId="31" fillId="33" borderId="0" xfId="0" applyNumberFormat="1" applyFont="1" applyFill="1" applyBorder="1" applyAlignment="1">
      <alignment horizontal="right"/>
    </xf>
    <xf numFmtId="4" fontId="31" fillId="33" borderId="10" xfId="0" applyNumberFormat="1" applyFont="1" applyFill="1" applyBorder="1" applyAlignment="1">
      <alignment horizontal="right"/>
    </xf>
    <xf numFmtId="4" fontId="31" fillId="36" borderId="0" xfId="0" applyNumberFormat="1" applyFont="1" applyFill="1" applyBorder="1" applyAlignment="1">
      <alignment horizontal="right"/>
    </xf>
    <xf numFmtId="4" fontId="31" fillId="36" borderId="1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49" fillId="36" borderId="15" xfId="0" applyNumberFormat="1" applyFont="1" applyFill="1" applyBorder="1" applyAlignment="1">
      <alignment horizontal="right"/>
    </xf>
    <xf numFmtId="4" fontId="49" fillId="36" borderId="23" xfId="0" applyNumberFormat="1" applyFont="1" applyFill="1" applyBorder="1" applyAlignment="1">
      <alignment horizontal="right"/>
    </xf>
    <xf numFmtId="0" fontId="35" fillId="35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0" fillId="34" borderId="15" xfId="0" applyFill="1" applyBorder="1" applyAlignment="1">
      <alignment/>
    </xf>
    <xf numFmtId="0" fontId="35" fillId="35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35" fillId="35" borderId="14" xfId="0" applyFont="1" applyFill="1" applyBorder="1" applyAlignment="1">
      <alignment horizontal="center" vertical="center"/>
    </xf>
    <xf numFmtId="0" fontId="35" fillId="35" borderId="24" xfId="0" applyFont="1" applyFill="1" applyBorder="1" applyAlignment="1">
      <alignment horizontal="center" vertical="center"/>
    </xf>
    <xf numFmtId="0" fontId="35" fillId="35" borderId="19" xfId="0" applyFont="1" applyFill="1" applyBorder="1" applyAlignment="1">
      <alignment horizontal="center"/>
    </xf>
    <xf numFmtId="0" fontId="35" fillId="35" borderId="20" xfId="0" applyFont="1" applyFill="1" applyBorder="1" applyAlignment="1">
      <alignment horizontal="center"/>
    </xf>
    <xf numFmtId="0" fontId="35" fillId="35" borderId="21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33" borderId="0" xfId="0" applyFont="1" applyFill="1" applyBorder="1" applyAlignment="1">
      <alignment horizontal="center" vertical="center" wrapText="1"/>
    </xf>
    <xf numFmtId="0" fontId="51" fillId="33" borderId="0" xfId="46" applyFont="1" applyFill="1" applyBorder="1" applyAlignment="1">
      <alignment wrapText="1"/>
    </xf>
    <xf numFmtId="0" fontId="53" fillId="33" borderId="0" xfId="0" applyFont="1" applyFill="1" applyBorder="1" applyAlignment="1">
      <alignment wrapText="1"/>
    </xf>
    <xf numFmtId="0" fontId="0" fillId="34" borderId="15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is.msal.gov.ar/index.php/boletines-2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J21"/>
  <sheetViews>
    <sheetView showGridLines="0" tabSelected="1" zoomScale="85" zoomScaleNormal="85" zoomScalePageLayoutView="0" workbookViewId="0" topLeftCell="A1">
      <selection activeCell="B4" sqref="B4"/>
    </sheetView>
  </sheetViews>
  <sheetFormatPr defaultColWidth="11.00390625" defaultRowHeight="15.75"/>
  <cols>
    <col min="2" max="2" width="22.75390625" style="0" customWidth="1"/>
    <col min="3" max="4" width="27.75390625" style="0" bestFit="1" customWidth="1"/>
    <col min="5" max="5" width="9.50390625" style="0" customWidth="1"/>
    <col min="6" max="6" width="10.50390625" style="0" customWidth="1"/>
    <col min="8" max="9" width="10.25390625" style="0" customWidth="1"/>
    <col min="10" max="10" width="8.00390625" style="0" customWidth="1"/>
    <col min="11" max="11" width="10.125" style="0" customWidth="1"/>
    <col min="12" max="12" width="10.375" style="0" customWidth="1"/>
    <col min="13" max="13" width="10.00390625" style="0" customWidth="1"/>
    <col min="14" max="14" width="10.375" style="0" customWidth="1"/>
    <col min="16" max="16" width="10.25390625" style="0" customWidth="1"/>
    <col min="66" max="66" width="12.00390625" style="0" bestFit="1" customWidth="1"/>
    <col min="67" max="67" width="5.875" style="0" bestFit="1" customWidth="1"/>
    <col min="68" max="68" width="11.125" style="0" customWidth="1"/>
    <col min="70" max="70" width="11.00390625" style="0" customWidth="1"/>
    <col min="72" max="72" width="11.50390625" style="0" customWidth="1"/>
    <col min="73" max="73" width="12.00390625" style="0" bestFit="1" customWidth="1"/>
    <col min="74" max="74" width="5.875" style="0" bestFit="1" customWidth="1"/>
    <col min="81" max="81" width="6.25390625" style="0" customWidth="1"/>
  </cols>
  <sheetData>
    <row r="2" spans="2:17" ht="15.75" customHeight="1">
      <c r="B2" s="93" t="s">
        <v>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6" ht="15.75" customHeight="1">
      <c r="B3" s="92" t="s">
        <v>20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6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88" ht="3.75" customHeight="1">
      <c r="B5" s="10"/>
      <c r="C5" s="16"/>
      <c r="D5" s="16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84"/>
      <c r="BW5" s="84"/>
      <c r="BX5" s="84"/>
      <c r="BY5" s="84"/>
      <c r="BZ5" s="84"/>
      <c r="CA5" s="84"/>
      <c r="CB5" s="84"/>
      <c r="CC5" s="96"/>
      <c r="CD5" s="96"/>
      <c r="CE5" s="96"/>
      <c r="CF5" s="96"/>
      <c r="CG5" s="96"/>
      <c r="CH5" s="96"/>
      <c r="CI5" s="96"/>
      <c r="CJ5" s="96"/>
    </row>
    <row r="6" spans="2:88" ht="15.75" customHeight="1">
      <c r="B6" s="87" t="s">
        <v>13</v>
      </c>
      <c r="C6" s="18" t="s">
        <v>18</v>
      </c>
      <c r="D6" s="18" t="s">
        <v>17</v>
      </c>
      <c r="E6" s="89">
        <v>2008</v>
      </c>
      <c r="F6" s="90"/>
      <c r="G6" s="90"/>
      <c r="H6" s="90"/>
      <c r="I6" s="90"/>
      <c r="J6" s="90"/>
      <c r="K6" s="91"/>
      <c r="L6" s="89">
        <v>2009</v>
      </c>
      <c r="M6" s="90"/>
      <c r="N6" s="90"/>
      <c r="O6" s="90"/>
      <c r="P6" s="90"/>
      <c r="Q6" s="90"/>
      <c r="R6" s="91"/>
      <c r="S6" s="89">
        <v>2010</v>
      </c>
      <c r="T6" s="90"/>
      <c r="U6" s="90"/>
      <c r="V6" s="90"/>
      <c r="W6" s="90"/>
      <c r="X6" s="90"/>
      <c r="Y6" s="91"/>
      <c r="Z6" s="89">
        <v>2011</v>
      </c>
      <c r="AA6" s="90"/>
      <c r="AB6" s="90"/>
      <c r="AC6" s="90"/>
      <c r="AD6" s="90"/>
      <c r="AE6" s="90"/>
      <c r="AF6" s="91"/>
      <c r="AG6" s="89">
        <v>2012</v>
      </c>
      <c r="AH6" s="90"/>
      <c r="AI6" s="90"/>
      <c r="AJ6" s="90"/>
      <c r="AK6" s="90"/>
      <c r="AL6" s="90"/>
      <c r="AM6" s="91"/>
      <c r="AN6" s="89">
        <v>2013</v>
      </c>
      <c r="AO6" s="90"/>
      <c r="AP6" s="90"/>
      <c r="AQ6" s="90"/>
      <c r="AR6" s="90"/>
      <c r="AS6" s="90"/>
      <c r="AT6" s="91"/>
      <c r="AU6" s="89">
        <v>2014</v>
      </c>
      <c r="AV6" s="90"/>
      <c r="AW6" s="90"/>
      <c r="AX6" s="90"/>
      <c r="AY6" s="90"/>
      <c r="AZ6" s="90"/>
      <c r="BA6" s="91"/>
      <c r="BB6" s="89">
        <v>2015</v>
      </c>
      <c r="BC6" s="90"/>
      <c r="BD6" s="90"/>
      <c r="BE6" s="90"/>
      <c r="BF6" s="90"/>
      <c r="BG6" s="90"/>
      <c r="BH6" s="91"/>
      <c r="BI6" s="89">
        <v>2016</v>
      </c>
      <c r="BJ6" s="90"/>
      <c r="BK6" s="90"/>
      <c r="BL6" s="90"/>
      <c r="BM6" s="90"/>
      <c r="BN6" s="90"/>
      <c r="BO6" s="91"/>
      <c r="BP6" s="89">
        <v>2017</v>
      </c>
      <c r="BQ6" s="90"/>
      <c r="BR6" s="90"/>
      <c r="BS6" s="90"/>
      <c r="BT6" s="90"/>
      <c r="BU6" s="90"/>
      <c r="BV6" s="91"/>
      <c r="BW6" s="89">
        <v>2018</v>
      </c>
      <c r="BX6" s="90"/>
      <c r="BY6" s="90"/>
      <c r="BZ6" s="90"/>
      <c r="CA6" s="90"/>
      <c r="CB6" s="90"/>
      <c r="CC6" s="91"/>
      <c r="CD6" s="89">
        <v>2019</v>
      </c>
      <c r="CE6" s="90"/>
      <c r="CF6" s="90"/>
      <c r="CG6" s="90"/>
      <c r="CH6" s="90"/>
      <c r="CI6" s="90"/>
      <c r="CJ6" s="91"/>
    </row>
    <row r="7" spans="2:88" ht="45">
      <c r="B7" s="88"/>
      <c r="C7" s="17" t="s">
        <v>12</v>
      </c>
      <c r="D7" s="14" t="s">
        <v>12</v>
      </c>
      <c r="E7" s="11" t="s">
        <v>7</v>
      </c>
      <c r="F7" s="11" t="s">
        <v>6</v>
      </c>
      <c r="G7" s="11" t="s">
        <v>5</v>
      </c>
      <c r="H7" s="11" t="s">
        <v>4</v>
      </c>
      <c r="I7" s="11" t="s">
        <v>3</v>
      </c>
      <c r="J7" s="12" t="s">
        <v>2</v>
      </c>
      <c r="K7" s="13" t="s">
        <v>1</v>
      </c>
      <c r="L7" s="11" t="s">
        <v>7</v>
      </c>
      <c r="M7" s="11" t="s">
        <v>6</v>
      </c>
      <c r="N7" s="11" t="s">
        <v>5</v>
      </c>
      <c r="O7" s="11" t="s">
        <v>4</v>
      </c>
      <c r="P7" s="11" t="s">
        <v>3</v>
      </c>
      <c r="Q7" s="12" t="s">
        <v>2</v>
      </c>
      <c r="R7" s="13" t="s">
        <v>1</v>
      </c>
      <c r="S7" s="11" t="s">
        <v>7</v>
      </c>
      <c r="T7" s="11" t="s">
        <v>6</v>
      </c>
      <c r="U7" s="11" t="s">
        <v>5</v>
      </c>
      <c r="V7" s="11" t="s">
        <v>4</v>
      </c>
      <c r="W7" s="11" t="s">
        <v>3</v>
      </c>
      <c r="X7" s="12" t="s">
        <v>2</v>
      </c>
      <c r="Y7" s="13" t="s">
        <v>1</v>
      </c>
      <c r="Z7" s="11" t="s">
        <v>7</v>
      </c>
      <c r="AA7" s="11" t="s">
        <v>6</v>
      </c>
      <c r="AB7" s="11" t="s">
        <v>5</v>
      </c>
      <c r="AC7" s="11" t="s">
        <v>4</v>
      </c>
      <c r="AD7" s="11" t="s">
        <v>3</v>
      </c>
      <c r="AE7" s="12" t="s">
        <v>2</v>
      </c>
      <c r="AF7" s="13" t="s">
        <v>1</v>
      </c>
      <c r="AG7" s="11" t="s">
        <v>7</v>
      </c>
      <c r="AH7" s="11" t="s">
        <v>6</v>
      </c>
      <c r="AI7" s="11" t="s">
        <v>5</v>
      </c>
      <c r="AJ7" s="11" t="s">
        <v>4</v>
      </c>
      <c r="AK7" s="11" t="s">
        <v>3</v>
      </c>
      <c r="AL7" s="12" t="s">
        <v>2</v>
      </c>
      <c r="AM7" s="13" t="s">
        <v>1</v>
      </c>
      <c r="AN7" s="11" t="s">
        <v>7</v>
      </c>
      <c r="AO7" s="11" t="s">
        <v>6</v>
      </c>
      <c r="AP7" s="11" t="s">
        <v>5</v>
      </c>
      <c r="AQ7" s="11" t="s">
        <v>4</v>
      </c>
      <c r="AR7" s="11" t="s">
        <v>3</v>
      </c>
      <c r="AS7" s="12" t="s">
        <v>2</v>
      </c>
      <c r="AT7" s="14" t="s">
        <v>1</v>
      </c>
      <c r="AU7" s="11" t="s">
        <v>7</v>
      </c>
      <c r="AV7" s="11" t="s">
        <v>6</v>
      </c>
      <c r="AW7" s="11" t="s">
        <v>5</v>
      </c>
      <c r="AX7" s="11" t="s">
        <v>4</v>
      </c>
      <c r="AY7" s="11" t="s">
        <v>3</v>
      </c>
      <c r="AZ7" s="12" t="s">
        <v>2</v>
      </c>
      <c r="BA7" s="14" t="s">
        <v>1</v>
      </c>
      <c r="BB7" s="11" t="s">
        <v>7</v>
      </c>
      <c r="BC7" s="11" t="s">
        <v>6</v>
      </c>
      <c r="BD7" s="11" t="s">
        <v>5</v>
      </c>
      <c r="BE7" s="11" t="s">
        <v>4</v>
      </c>
      <c r="BF7" s="11" t="s">
        <v>3</v>
      </c>
      <c r="BG7" s="12" t="s">
        <v>2</v>
      </c>
      <c r="BH7" s="14" t="s">
        <v>1</v>
      </c>
      <c r="BI7" s="11" t="s">
        <v>7</v>
      </c>
      <c r="BJ7" s="11" t="s">
        <v>6</v>
      </c>
      <c r="BK7" s="11" t="s">
        <v>5</v>
      </c>
      <c r="BL7" s="11" t="s">
        <v>4</v>
      </c>
      <c r="BM7" s="11" t="s">
        <v>3</v>
      </c>
      <c r="BN7" s="12" t="s">
        <v>2</v>
      </c>
      <c r="BO7" s="14" t="s">
        <v>1</v>
      </c>
      <c r="BP7" s="11" t="s">
        <v>7</v>
      </c>
      <c r="BQ7" s="11" t="s">
        <v>6</v>
      </c>
      <c r="BR7" s="11" t="s">
        <v>5</v>
      </c>
      <c r="BS7" s="11" t="s">
        <v>4</v>
      </c>
      <c r="BT7" s="11" t="s">
        <v>3</v>
      </c>
      <c r="BU7" s="12" t="s">
        <v>2</v>
      </c>
      <c r="BV7" s="14" t="s">
        <v>1</v>
      </c>
      <c r="BW7" s="11" t="s">
        <v>7</v>
      </c>
      <c r="BX7" s="11" t="s">
        <v>6</v>
      </c>
      <c r="BY7" s="11" t="s">
        <v>5</v>
      </c>
      <c r="BZ7" s="11" t="s">
        <v>4</v>
      </c>
      <c r="CA7" s="11" t="s">
        <v>3</v>
      </c>
      <c r="CB7" s="12" t="s">
        <v>2</v>
      </c>
      <c r="CC7" s="82" t="s">
        <v>1</v>
      </c>
      <c r="CD7" s="11" t="s">
        <v>7</v>
      </c>
      <c r="CE7" s="11" t="s">
        <v>6</v>
      </c>
      <c r="CF7" s="11" t="s">
        <v>5</v>
      </c>
      <c r="CG7" s="11" t="s">
        <v>4</v>
      </c>
      <c r="CH7" s="11" t="s">
        <v>3</v>
      </c>
      <c r="CI7" s="12" t="s">
        <v>2</v>
      </c>
      <c r="CJ7" s="85" t="s">
        <v>1</v>
      </c>
    </row>
    <row r="8" spans="2:88" s="45" customFormat="1" ht="15.75">
      <c r="B8" s="38" t="s">
        <v>8</v>
      </c>
      <c r="C8" s="62" t="s">
        <v>16</v>
      </c>
      <c r="D8" s="63">
        <f>SUM(CC8)-AM8</f>
        <v>-7494</v>
      </c>
      <c r="E8" s="39" t="s">
        <v>16</v>
      </c>
      <c r="F8" s="40" t="s">
        <v>16</v>
      </c>
      <c r="G8" s="40" t="s">
        <v>16</v>
      </c>
      <c r="H8" s="40" t="s">
        <v>16</v>
      </c>
      <c r="I8" s="40" t="s">
        <v>16</v>
      </c>
      <c r="J8" s="41" t="s">
        <v>16</v>
      </c>
      <c r="K8" s="42">
        <f>SUM(E8:J8)</f>
        <v>0</v>
      </c>
      <c r="L8" s="40" t="s">
        <v>16</v>
      </c>
      <c r="M8" s="40" t="s">
        <v>16</v>
      </c>
      <c r="N8" s="40" t="s">
        <v>16</v>
      </c>
      <c r="O8" s="40" t="s">
        <v>16</v>
      </c>
      <c r="P8" s="40" t="s">
        <v>16</v>
      </c>
      <c r="Q8" s="41" t="s">
        <v>16</v>
      </c>
      <c r="R8" s="42" t="s">
        <v>16</v>
      </c>
      <c r="S8" s="40" t="s">
        <v>16</v>
      </c>
      <c r="T8" s="40" t="s">
        <v>16</v>
      </c>
      <c r="U8" s="40" t="s">
        <v>16</v>
      </c>
      <c r="V8" s="40" t="s">
        <v>16</v>
      </c>
      <c r="W8" s="40" t="s">
        <v>16</v>
      </c>
      <c r="X8" s="41" t="s">
        <v>16</v>
      </c>
      <c r="Y8" s="42" t="s">
        <v>16</v>
      </c>
      <c r="Z8" s="40" t="s">
        <v>16</v>
      </c>
      <c r="AA8" s="40" t="s">
        <v>16</v>
      </c>
      <c r="AB8" s="40" t="s">
        <v>16</v>
      </c>
      <c r="AC8" s="40" t="s">
        <v>16</v>
      </c>
      <c r="AD8" s="40" t="s">
        <v>16</v>
      </c>
      <c r="AE8" s="41" t="s">
        <v>16</v>
      </c>
      <c r="AF8" s="42" t="s">
        <v>16</v>
      </c>
      <c r="AG8" s="40">
        <f>20+34</f>
        <v>54</v>
      </c>
      <c r="AH8" s="40">
        <f>984+980</f>
        <v>1964</v>
      </c>
      <c r="AI8" s="40">
        <f>5238+3334</f>
        <v>8572</v>
      </c>
      <c r="AJ8" s="40">
        <f>4422+5954</f>
        <v>10376</v>
      </c>
      <c r="AK8" s="40">
        <f>3870+925</f>
        <v>4795</v>
      </c>
      <c r="AL8" s="41">
        <f>454+665</f>
        <v>1119</v>
      </c>
      <c r="AM8" s="42">
        <f>SUM(AG8:AL8)</f>
        <v>26880</v>
      </c>
      <c r="AN8" s="43">
        <f>26+28</f>
        <v>54</v>
      </c>
      <c r="AO8" s="43">
        <f>740+821</f>
        <v>1561</v>
      </c>
      <c r="AP8" s="43">
        <f>3161+4819</f>
        <v>7980</v>
      </c>
      <c r="AQ8" s="43">
        <f>4934+6300</f>
        <v>11234</v>
      </c>
      <c r="AR8" s="43">
        <f>1072+3946</f>
        <v>5018</v>
      </c>
      <c r="AS8" s="44">
        <f>664+983</f>
        <v>1647</v>
      </c>
      <c r="AT8" s="42">
        <f>SUM(AN8:AS8)</f>
        <v>27494</v>
      </c>
      <c r="AU8" s="43">
        <f>15+36</f>
        <v>51</v>
      </c>
      <c r="AV8" s="43">
        <f>672+845</f>
        <v>1517</v>
      </c>
      <c r="AW8" s="43">
        <f>2749+4406</f>
        <v>7155</v>
      </c>
      <c r="AX8" s="43">
        <f>4822+6691</f>
        <v>11513</v>
      </c>
      <c r="AY8" s="43">
        <f>623+3782</f>
        <v>4405</v>
      </c>
      <c r="AZ8" s="44">
        <f>686+1005</f>
        <v>1691</v>
      </c>
      <c r="BA8" s="42">
        <f>SUM(AU8:AZ8)</f>
        <v>26332</v>
      </c>
      <c r="BB8" s="43">
        <f>20+16</f>
        <v>36</v>
      </c>
      <c r="BC8" s="43">
        <f>566+382</f>
        <v>948</v>
      </c>
      <c r="BD8" s="43">
        <f>2331+3697</f>
        <v>6028</v>
      </c>
      <c r="BE8" s="43">
        <f>4631+6484</f>
        <v>11115</v>
      </c>
      <c r="BF8" s="43">
        <f>543+3484</f>
        <v>4027</v>
      </c>
      <c r="BG8" s="44">
        <f>582+930</f>
        <v>1512</v>
      </c>
      <c r="BH8" s="42">
        <f>SUM(BB8:BG8)</f>
        <v>23666</v>
      </c>
      <c r="BI8" s="43">
        <f>13+12</f>
        <v>25</v>
      </c>
      <c r="BJ8" s="43">
        <f>339+428</f>
        <v>767</v>
      </c>
      <c r="BK8" s="43">
        <f>1584+2730</f>
        <v>4314</v>
      </c>
      <c r="BL8" s="43">
        <f>3935+5784</f>
        <v>9719</v>
      </c>
      <c r="BM8" s="43">
        <f>529+3085</f>
        <v>3614</v>
      </c>
      <c r="BN8" s="44">
        <f>1133+1815</f>
        <v>2948</v>
      </c>
      <c r="BO8" s="42">
        <f>SUM(BI8:BN8)</f>
        <v>21387</v>
      </c>
      <c r="BP8" s="43">
        <v>278</v>
      </c>
      <c r="BQ8" s="43">
        <v>6122</v>
      </c>
      <c r="BR8" s="43">
        <v>9373</v>
      </c>
      <c r="BS8" s="43">
        <v>48861</v>
      </c>
      <c r="BT8" s="43">
        <v>16249</v>
      </c>
      <c r="BU8" s="44">
        <v>3362</v>
      </c>
      <c r="BV8" s="42">
        <v>21515</v>
      </c>
      <c r="BW8" s="43">
        <v>24</v>
      </c>
      <c r="BX8" s="43">
        <v>556</v>
      </c>
      <c r="BY8" s="43">
        <v>3108</v>
      </c>
      <c r="BZ8" s="43">
        <v>8627</v>
      </c>
      <c r="CA8" s="43">
        <v>3887</v>
      </c>
      <c r="CB8" s="44">
        <v>3179</v>
      </c>
      <c r="CC8" s="42">
        <v>19386</v>
      </c>
      <c r="CD8" s="43">
        <v>14</v>
      </c>
      <c r="CE8" s="43">
        <v>355</v>
      </c>
      <c r="CF8" s="43">
        <v>2789</v>
      </c>
      <c r="CG8" s="43">
        <v>8729</v>
      </c>
      <c r="CH8" s="43">
        <v>3477</v>
      </c>
      <c r="CI8" s="44">
        <v>891</v>
      </c>
      <c r="CJ8" s="42">
        <f>SUM(CD8:CI8)</f>
        <v>16255</v>
      </c>
    </row>
    <row r="9" spans="2:88" ht="15.75">
      <c r="B9" s="7" t="s">
        <v>10</v>
      </c>
      <c r="C9" s="26">
        <f>SUM(CC9)-K9</f>
        <v>-9602</v>
      </c>
      <c r="D9" s="33">
        <f>SUM(CC9)-AM9</f>
        <v>-9600</v>
      </c>
      <c r="E9" s="31">
        <f>1+33+52</f>
        <v>86</v>
      </c>
      <c r="F9" s="5">
        <f>173+2731+2283</f>
        <v>5187</v>
      </c>
      <c r="G9" s="5">
        <f>164+6066+9230</f>
        <v>15460</v>
      </c>
      <c r="H9" s="5">
        <f>458+3855+6976</f>
        <v>11289</v>
      </c>
      <c r="I9" s="5">
        <f>0+595+3940</f>
        <v>4535</v>
      </c>
      <c r="J9" s="2">
        <f>12+375+596</f>
        <v>983</v>
      </c>
      <c r="K9" s="8">
        <f>SUM(E9:J9)</f>
        <v>37540</v>
      </c>
      <c r="L9" s="5">
        <f>0+34+38</f>
        <v>72</v>
      </c>
      <c r="M9" s="5">
        <f>172+2411+2170</f>
        <v>4753</v>
      </c>
      <c r="N9" s="5">
        <f>205+5879+9367</f>
        <v>15451</v>
      </c>
      <c r="O9" s="5">
        <f>100+4296+7532</f>
        <v>11928</v>
      </c>
      <c r="P9" s="5">
        <f>0+705+4187</f>
        <v>4892</v>
      </c>
      <c r="Q9" s="2">
        <f>20+391+594</f>
        <v>1005</v>
      </c>
      <c r="R9" s="8">
        <f>SUM(L9:Q9)</f>
        <v>38101</v>
      </c>
      <c r="S9" s="5">
        <f>34+34</f>
        <v>68</v>
      </c>
      <c r="T9" s="5">
        <f>2194+1972</f>
        <v>4166</v>
      </c>
      <c r="U9" s="5">
        <f>5533+8996</f>
        <v>14529</v>
      </c>
      <c r="V9" s="5">
        <f>4970+8041</f>
        <v>13011</v>
      </c>
      <c r="W9" s="5">
        <f>968+4446</f>
        <v>5414</v>
      </c>
      <c r="X9" s="2">
        <f>439+672</f>
        <v>1111</v>
      </c>
      <c r="Y9" s="8">
        <f>SUM(S9:X9)</f>
        <v>38299</v>
      </c>
      <c r="Z9" s="5">
        <f>50+68</f>
        <v>118</v>
      </c>
      <c r="AA9" s="5">
        <f>1886+1813</f>
        <v>3699</v>
      </c>
      <c r="AB9" s="5">
        <f>5515+8467</f>
        <v>13982</v>
      </c>
      <c r="AC9" s="5">
        <f>5845+8195</f>
        <v>14040</v>
      </c>
      <c r="AD9" s="5">
        <f>1284+4902</f>
        <v>6186</v>
      </c>
      <c r="AE9" s="2">
        <f>527+722</f>
        <v>1249</v>
      </c>
      <c r="AF9" s="8">
        <f>SUM(Z9:AE9)</f>
        <v>39274</v>
      </c>
      <c r="AG9" s="5">
        <f>33+49</f>
        <v>82</v>
      </c>
      <c r="AH9" s="5">
        <f>1428+1467</f>
        <v>2895</v>
      </c>
      <c r="AI9" s="5">
        <f>4663+7258</f>
        <v>11921</v>
      </c>
      <c r="AJ9" s="5">
        <f>8346+6323</f>
        <v>14669</v>
      </c>
      <c r="AK9" s="5">
        <f>1267+5130</f>
        <v>6397</v>
      </c>
      <c r="AL9" s="2">
        <f>924+650</f>
        <v>1574</v>
      </c>
      <c r="AM9" s="8">
        <f>SUM(AG9:AL9)</f>
        <v>37538</v>
      </c>
      <c r="AN9" s="6">
        <f>32+36</f>
        <v>68</v>
      </c>
      <c r="AO9" s="6">
        <f>1111+1224</f>
        <v>2335</v>
      </c>
      <c r="AP9" s="6">
        <f>4407+6666</f>
        <v>11073</v>
      </c>
      <c r="AQ9" s="6">
        <f>7005+8733</f>
        <v>15738</v>
      </c>
      <c r="AR9" s="6">
        <f>1429+5278</f>
        <v>6707</v>
      </c>
      <c r="AS9" s="4">
        <f>988+1412</f>
        <v>2400</v>
      </c>
      <c r="AT9" s="8">
        <f>SUM(AN9:AS9)</f>
        <v>38321</v>
      </c>
      <c r="AU9" s="6">
        <f>18+44</f>
        <v>62</v>
      </c>
      <c r="AV9" s="6">
        <f>936+1157</f>
        <v>2093</v>
      </c>
      <c r="AW9" s="6">
        <f>3861+6033</f>
        <v>9894</v>
      </c>
      <c r="AX9" s="6">
        <f>7006+9376</f>
        <v>16382</v>
      </c>
      <c r="AY9" s="6">
        <f>790+5122</f>
        <v>5912</v>
      </c>
      <c r="AZ9" s="4">
        <f>1000+1457</f>
        <v>2457</v>
      </c>
      <c r="BA9" s="8">
        <f>SUM(AU9:AZ9)</f>
        <v>36800</v>
      </c>
      <c r="BB9" s="6">
        <f>27+21</f>
        <v>48</v>
      </c>
      <c r="BC9" s="6">
        <f>761+911</f>
        <v>1672</v>
      </c>
      <c r="BD9" s="6">
        <f>3243+5175</f>
        <v>8418</v>
      </c>
      <c r="BE9" s="6">
        <f>6965+9292</f>
        <v>16257</v>
      </c>
      <c r="BF9" s="6">
        <f>698+4667</f>
        <v>5365</v>
      </c>
      <c r="BG9" s="4">
        <f>844+1336</f>
        <v>2180</v>
      </c>
      <c r="BH9" s="8">
        <f>SUM(BB9:BG9)</f>
        <v>33940</v>
      </c>
      <c r="BI9" s="6">
        <f>17+19</f>
        <v>36</v>
      </c>
      <c r="BJ9" s="6">
        <f>485+591</f>
        <v>1076</v>
      </c>
      <c r="BK9" s="6">
        <f>2310+3834</f>
        <v>6144</v>
      </c>
      <c r="BL9" s="6">
        <f>5849+8325</f>
        <v>14174</v>
      </c>
      <c r="BM9" s="6">
        <f>712+4197</f>
        <v>4909</v>
      </c>
      <c r="BN9" s="4">
        <f>1640+2626</f>
        <v>4266</v>
      </c>
      <c r="BO9" s="8">
        <f>SUM(BI9:BN9)</f>
        <v>30605</v>
      </c>
      <c r="BP9" s="6">
        <v>1</v>
      </c>
      <c r="BQ9" s="6">
        <v>48</v>
      </c>
      <c r="BR9" s="6">
        <v>644</v>
      </c>
      <c r="BS9" s="6">
        <v>763</v>
      </c>
      <c r="BT9" s="6">
        <v>379</v>
      </c>
      <c r="BU9" s="4">
        <v>47</v>
      </c>
      <c r="BV9" s="8">
        <v>30614</v>
      </c>
      <c r="BW9" s="6">
        <v>40</v>
      </c>
      <c r="BX9" s="6">
        <v>768</v>
      </c>
      <c r="BY9" s="6">
        <v>4549</v>
      </c>
      <c r="BZ9" s="6">
        <v>12814</v>
      </c>
      <c r="CA9" s="6">
        <v>46161</v>
      </c>
      <c r="CB9" s="4">
        <v>4306</v>
      </c>
      <c r="CC9" s="8">
        <v>27938</v>
      </c>
      <c r="CD9" s="6">
        <v>17</v>
      </c>
      <c r="CE9" s="6">
        <v>522</v>
      </c>
      <c r="CF9" s="6">
        <v>3877</v>
      </c>
      <c r="CG9" s="6">
        <v>12752</v>
      </c>
      <c r="CH9" s="6">
        <v>4792</v>
      </c>
      <c r="CI9" s="4">
        <v>1155</v>
      </c>
      <c r="CJ9" s="8">
        <f>SUM(CD9:CI9)</f>
        <v>23115</v>
      </c>
    </row>
    <row r="10" spans="2:88" ht="15.75">
      <c r="B10" s="19" t="s">
        <v>11</v>
      </c>
      <c r="C10" s="27">
        <f>SUM(CC10)-K10</f>
        <v>-1714</v>
      </c>
      <c r="D10" s="34">
        <f>SUM(CC10)-AM10</f>
        <v>-1498</v>
      </c>
      <c r="E10" s="32">
        <f>0+1+2</f>
        <v>3</v>
      </c>
      <c r="F10" s="20">
        <f>7+60+60</f>
        <v>127</v>
      </c>
      <c r="G10" s="20">
        <f>19+416+642</f>
        <v>1077</v>
      </c>
      <c r="H10" s="20">
        <f>24+526+734</f>
        <v>1284</v>
      </c>
      <c r="I10" s="20">
        <f>0+121+582</f>
        <v>703</v>
      </c>
      <c r="J10" s="21">
        <f>2+20+22</f>
        <v>44</v>
      </c>
      <c r="K10" s="22">
        <f>SUM(E10:J10)</f>
        <v>3238</v>
      </c>
      <c r="L10" s="20">
        <f>0+4+8</f>
        <v>12</v>
      </c>
      <c r="M10" s="20">
        <f>7+2411+57</f>
        <v>2475</v>
      </c>
      <c r="N10" s="20">
        <f>25+5879+680</f>
        <v>6584</v>
      </c>
      <c r="O10" s="20">
        <f>25+4296+757</f>
        <v>5078</v>
      </c>
      <c r="P10" s="20">
        <f>0+705+485</f>
        <v>1190</v>
      </c>
      <c r="Q10" s="21">
        <f>4+391+15</f>
        <v>410</v>
      </c>
      <c r="R10" s="22">
        <f>SUM(L10:Q10)</f>
        <v>15749</v>
      </c>
      <c r="S10" s="20">
        <f>0+5</f>
        <v>5</v>
      </c>
      <c r="T10" s="20">
        <f>53+66</f>
        <v>119</v>
      </c>
      <c r="U10" s="20">
        <f>399+602</f>
        <v>1001</v>
      </c>
      <c r="V10" s="20">
        <f>563+714</f>
        <v>1277</v>
      </c>
      <c r="W10" s="20">
        <f>107+534</f>
        <v>641</v>
      </c>
      <c r="X10" s="21">
        <f>25+28</f>
        <v>53</v>
      </c>
      <c r="Y10" s="22">
        <f>SUM(S10:X10)</f>
        <v>3096</v>
      </c>
      <c r="Z10" s="20">
        <f>4+3</f>
        <v>7</v>
      </c>
      <c r="AA10" s="20">
        <f>53+73</f>
        <v>126</v>
      </c>
      <c r="AB10" s="20">
        <f>419+688</f>
        <v>1107</v>
      </c>
      <c r="AC10" s="20">
        <f>516+712</f>
        <v>1228</v>
      </c>
      <c r="AD10" s="20">
        <f>103+534</f>
        <v>637</v>
      </c>
      <c r="AE10" s="21">
        <f>21+26</f>
        <v>47</v>
      </c>
      <c r="AF10" s="22">
        <f>SUM(Z10:AE10)</f>
        <v>3152</v>
      </c>
      <c r="AG10" s="20">
        <f>3+5</f>
        <v>8</v>
      </c>
      <c r="AH10" s="20">
        <f>37+47</f>
        <v>84</v>
      </c>
      <c r="AI10" s="20">
        <f>402+594</f>
        <v>996</v>
      </c>
      <c r="AJ10" s="20">
        <f>596+684</f>
        <v>1280</v>
      </c>
      <c r="AK10" s="20">
        <f>118+512</f>
        <v>630</v>
      </c>
      <c r="AL10" s="21">
        <f>10+14</f>
        <v>24</v>
      </c>
      <c r="AM10" s="22">
        <f>SUM(AG10:AL10)</f>
        <v>3022</v>
      </c>
      <c r="AN10" s="23">
        <f>5+9</f>
        <v>14</v>
      </c>
      <c r="AO10" s="23">
        <f>34+63</f>
        <v>97</v>
      </c>
      <c r="AP10" s="23">
        <f>287+460</f>
        <v>747</v>
      </c>
      <c r="AQ10" s="23">
        <f>661+784</f>
        <v>1445</v>
      </c>
      <c r="AR10" s="23">
        <f>101+481</f>
        <v>582</v>
      </c>
      <c r="AS10" s="24">
        <f>20+31</f>
        <v>51</v>
      </c>
      <c r="AT10" s="22">
        <f>SUM(AN10:AS10)</f>
        <v>2936</v>
      </c>
      <c r="AU10" s="23">
        <f>2+3</f>
        <v>5</v>
      </c>
      <c r="AV10" s="23">
        <f>38+42</f>
        <v>80</v>
      </c>
      <c r="AW10" s="23">
        <f>359+620</f>
        <v>979</v>
      </c>
      <c r="AX10" s="23">
        <f>530+673</f>
        <v>1203</v>
      </c>
      <c r="AY10" s="23">
        <f>94+427</f>
        <v>521</v>
      </c>
      <c r="AZ10" s="24">
        <f>21+43</f>
        <v>64</v>
      </c>
      <c r="BA10" s="22">
        <f>SUM(AU10:AZ10)</f>
        <v>2852</v>
      </c>
      <c r="BB10" s="23">
        <f>1+1</f>
        <v>2</v>
      </c>
      <c r="BC10" s="23">
        <f>19+34</f>
        <v>53</v>
      </c>
      <c r="BD10" s="23">
        <f>348+618</f>
        <v>966</v>
      </c>
      <c r="BE10" s="23">
        <f>367+558</f>
        <v>925</v>
      </c>
      <c r="BF10" s="23">
        <f>98+394</f>
        <v>492</v>
      </c>
      <c r="BG10" s="24">
        <f>23+39</f>
        <v>62</v>
      </c>
      <c r="BH10" s="22">
        <f>SUM(BB10:BG10)</f>
        <v>2500</v>
      </c>
      <c r="BI10" s="23">
        <f>2+1</f>
        <v>3</v>
      </c>
      <c r="BJ10" s="23">
        <f>19+17</f>
        <v>36</v>
      </c>
      <c r="BK10" s="23">
        <f>291+518</f>
        <v>809</v>
      </c>
      <c r="BL10" s="23">
        <f>332+474</f>
        <v>806</v>
      </c>
      <c r="BM10" s="23">
        <f>74+374</f>
        <v>448</v>
      </c>
      <c r="BN10" s="24">
        <f>22+35</f>
        <v>57</v>
      </c>
      <c r="BO10" s="22">
        <f>SUM(BI10:BN10)</f>
        <v>2159</v>
      </c>
      <c r="BP10" s="23">
        <v>35</v>
      </c>
      <c r="BQ10" s="23">
        <v>2069</v>
      </c>
      <c r="BR10" s="23">
        <v>6170</v>
      </c>
      <c r="BS10" s="23">
        <v>15346</v>
      </c>
      <c r="BT10" s="23">
        <v>5844</v>
      </c>
      <c r="BU10" s="24">
        <v>1150</v>
      </c>
      <c r="BV10" s="22">
        <v>1882</v>
      </c>
      <c r="BW10" s="23">
        <v>1</v>
      </c>
      <c r="BX10" s="23">
        <v>36</v>
      </c>
      <c r="BY10" s="23">
        <v>459</v>
      </c>
      <c r="BZ10" s="23">
        <v>659</v>
      </c>
      <c r="CA10" s="23">
        <v>332</v>
      </c>
      <c r="CB10" s="24">
        <v>37</v>
      </c>
      <c r="CC10" s="22">
        <v>1524</v>
      </c>
      <c r="CD10" s="23">
        <v>2</v>
      </c>
      <c r="CE10" s="23">
        <v>15</v>
      </c>
      <c r="CF10" s="23">
        <v>246</v>
      </c>
      <c r="CG10" s="23">
        <v>310</v>
      </c>
      <c r="CH10" s="23">
        <v>171</v>
      </c>
      <c r="CI10" s="24">
        <v>423</v>
      </c>
      <c r="CJ10" s="22">
        <f>SUM(CD10:CI10)</f>
        <v>1167</v>
      </c>
    </row>
    <row r="11" spans="2:88" s="37" customFormat="1" ht="15.75">
      <c r="B11" s="46" t="s">
        <v>0</v>
      </c>
      <c r="C11" s="47">
        <f>SUM(CC11)-K11</f>
        <v>-27692</v>
      </c>
      <c r="D11" s="48">
        <f>SUM(CC11)-AM11</f>
        <v>-27000</v>
      </c>
      <c r="E11" s="49">
        <f>21+299+305</f>
        <v>625</v>
      </c>
      <c r="F11" s="50">
        <f>930+9779+7760</f>
        <v>18469</v>
      </c>
      <c r="G11" s="50">
        <f>800+16993+21392</f>
        <v>39185</v>
      </c>
      <c r="H11" s="50">
        <f>458+17078+21580</f>
        <v>39116</v>
      </c>
      <c r="I11" s="50">
        <f>0+2018+12313</f>
        <v>14331</v>
      </c>
      <c r="J11" s="51">
        <f>83+1133+1384</f>
        <v>2600</v>
      </c>
      <c r="K11" s="52">
        <f>SUM(E11:J11)</f>
        <v>114326</v>
      </c>
      <c r="L11" s="50">
        <f>29+297+303</f>
        <v>629</v>
      </c>
      <c r="M11" s="50">
        <f>973+8953+7740</f>
        <v>17666</v>
      </c>
      <c r="N11" s="50">
        <f>925+16273+21267</f>
        <v>38465</v>
      </c>
      <c r="O11" s="50">
        <f>541+18074+22980</f>
        <v>41595</v>
      </c>
      <c r="P11" s="50">
        <f>0+2224+12902</f>
        <v>15126</v>
      </c>
      <c r="Q11" s="51">
        <f>75+1088+1377</f>
        <v>2540</v>
      </c>
      <c r="R11" s="52">
        <f>SUM(L11:Q11)</f>
        <v>116021</v>
      </c>
      <c r="S11" s="50">
        <f>260+258</f>
        <v>518</v>
      </c>
      <c r="T11" s="50">
        <f>8781+7075</f>
        <v>15856</v>
      </c>
      <c r="U11" s="50">
        <f>16145+20891</f>
        <v>37036</v>
      </c>
      <c r="V11" s="50">
        <f>19872+24677</f>
        <v>44549</v>
      </c>
      <c r="W11" s="50">
        <f>2513+13629</f>
        <v>16142</v>
      </c>
      <c r="X11" s="51">
        <f>1202+1517</f>
        <v>2719</v>
      </c>
      <c r="Y11" s="52">
        <f>SUM(S11:X11)</f>
        <v>116820</v>
      </c>
      <c r="Z11" s="50">
        <f>318+321</f>
        <v>639</v>
      </c>
      <c r="AA11" s="50">
        <f>7774+6456</f>
        <v>14230</v>
      </c>
      <c r="AB11" s="50">
        <f>15682+20106</f>
        <v>35788</v>
      </c>
      <c r="AC11" s="50">
        <f>21749+24966</f>
        <v>46715</v>
      </c>
      <c r="AD11" s="50">
        <f>2966+14653</f>
        <v>17619</v>
      </c>
      <c r="AE11" s="51">
        <f>1498+1792</f>
        <v>3290</v>
      </c>
      <c r="AF11" s="52">
        <f>SUM(Z11:AE11)</f>
        <v>118281</v>
      </c>
      <c r="AG11" s="50">
        <f>228+236</f>
        <v>464</v>
      </c>
      <c r="AH11" s="50">
        <f>5207+6155</f>
        <v>11362</v>
      </c>
      <c r="AI11" s="50">
        <f>14573+17623</f>
        <v>32196</v>
      </c>
      <c r="AJ11" s="50">
        <f>25282+23032</f>
        <v>48314</v>
      </c>
      <c r="AK11" s="50">
        <f>3039+14656</f>
        <v>17695</v>
      </c>
      <c r="AL11" s="51">
        <f>1945+1658</f>
        <v>3603</v>
      </c>
      <c r="AM11" s="52">
        <f>SUM(AG11:AL11)</f>
        <v>113634</v>
      </c>
      <c r="AN11" s="53">
        <f>240+233</f>
        <v>473</v>
      </c>
      <c r="AO11" s="53">
        <f>5442+4802</f>
        <v>10244</v>
      </c>
      <c r="AP11" s="53">
        <f>14040+16805</f>
        <v>30845</v>
      </c>
      <c r="AQ11" s="53">
        <f>25123+26388</f>
        <v>51511</v>
      </c>
      <c r="AR11" s="53">
        <f>3735+15875</f>
        <v>19610</v>
      </c>
      <c r="AS11" s="54">
        <f>1787+2290</f>
        <v>4077</v>
      </c>
      <c r="AT11" s="52">
        <f>SUM(AN11:AS11)</f>
        <v>116760</v>
      </c>
      <c r="AU11" s="53">
        <f>181+233</f>
        <v>414</v>
      </c>
      <c r="AV11" s="53">
        <f>4889+4576</f>
        <v>9465</v>
      </c>
      <c r="AW11" s="53">
        <f>13072+15749</f>
        <v>28821</v>
      </c>
      <c r="AX11" s="53">
        <f>26041+27861</f>
        <v>53902</v>
      </c>
      <c r="AY11" s="53">
        <f>2649+15581</f>
        <v>18230</v>
      </c>
      <c r="AZ11" s="54">
        <f>2375+3207</f>
        <v>5582</v>
      </c>
      <c r="BA11" s="52">
        <f>SUM(AU11:AZ11)</f>
        <v>116414</v>
      </c>
      <c r="BB11" s="53">
        <f>216+226</f>
        <v>442</v>
      </c>
      <c r="BC11" s="53">
        <f>4510+3899</f>
        <v>8409</v>
      </c>
      <c r="BD11" s="53">
        <f>11788+14177</f>
        <v>25965</v>
      </c>
      <c r="BE11" s="53">
        <f>26552+28196</f>
        <v>54748</v>
      </c>
      <c r="BF11" s="53">
        <f>2607+15267</f>
        <v>17874</v>
      </c>
      <c r="BG11" s="54">
        <f>1753+2508</f>
        <v>4261</v>
      </c>
      <c r="BH11" s="52">
        <f>SUM(BB11:BG11)</f>
        <v>111699</v>
      </c>
      <c r="BI11" s="53">
        <f>164+161</f>
        <v>325</v>
      </c>
      <c r="BJ11" s="53">
        <f>3267+2972</f>
        <v>6239</v>
      </c>
      <c r="BK11" s="53">
        <f>9102+11521</f>
        <v>20623</v>
      </c>
      <c r="BL11" s="53">
        <f>23496+25665</f>
        <v>49161</v>
      </c>
      <c r="BM11" s="53">
        <f>2288+13793</f>
        <v>16081</v>
      </c>
      <c r="BN11" s="54">
        <f>2500+3927</f>
        <v>6427</v>
      </c>
      <c r="BO11" s="52">
        <f>SUM(BI11:BN11)</f>
        <v>98856</v>
      </c>
      <c r="BP11" s="53">
        <v>32</v>
      </c>
      <c r="BQ11" s="53">
        <v>1459</v>
      </c>
      <c r="BR11" s="53">
        <v>4425</v>
      </c>
      <c r="BS11" s="53">
        <v>10496</v>
      </c>
      <c r="BT11" s="53">
        <v>4227</v>
      </c>
      <c r="BU11" s="54">
        <v>886</v>
      </c>
      <c r="BV11" s="52">
        <v>93573</v>
      </c>
      <c r="BW11" s="53">
        <v>240</v>
      </c>
      <c r="BX11" s="53">
        <v>4169</v>
      </c>
      <c r="BY11" s="53">
        <v>15392</v>
      </c>
      <c r="BZ11" s="53">
        <v>44519</v>
      </c>
      <c r="CA11" s="53">
        <v>15732</v>
      </c>
      <c r="CB11" s="54">
        <v>6582</v>
      </c>
      <c r="CC11" s="52">
        <v>86634</v>
      </c>
      <c r="CD11" s="53">
        <v>185</v>
      </c>
      <c r="CE11" s="53">
        <v>2995</v>
      </c>
      <c r="CF11" s="53">
        <v>12353</v>
      </c>
      <c r="CG11" s="53">
        <v>39738</v>
      </c>
      <c r="CH11" s="53">
        <v>12753</v>
      </c>
      <c r="CI11" s="54">
        <v>3333</v>
      </c>
      <c r="CJ11" s="52">
        <f>SUM(CD11:CI11)</f>
        <v>71357</v>
      </c>
    </row>
    <row r="12" spans="2:88" ht="15.75">
      <c r="B12" s="28" t="s">
        <v>14</v>
      </c>
      <c r="C12" s="29"/>
      <c r="D12" s="30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30"/>
      <c r="BW12" s="29"/>
      <c r="BX12" s="29"/>
      <c r="BY12" s="29"/>
      <c r="BZ12" s="29"/>
      <c r="CA12" s="29"/>
      <c r="CB12" s="29"/>
      <c r="CC12" s="30"/>
      <c r="CD12" s="29"/>
      <c r="CE12" s="29"/>
      <c r="CF12" s="29"/>
      <c r="CG12" s="29"/>
      <c r="CH12" s="29"/>
      <c r="CI12" s="29"/>
      <c r="CJ12" s="30"/>
    </row>
    <row r="13" spans="2:88" ht="15.75">
      <c r="B13" s="7" t="s">
        <v>8</v>
      </c>
      <c r="C13" s="64" t="s">
        <v>16</v>
      </c>
      <c r="D13" s="65">
        <f>SUM(CC8)/AM8-1</f>
        <v>-0.27879464285714284</v>
      </c>
      <c r="E13" s="5" t="s">
        <v>16</v>
      </c>
      <c r="F13" s="5" t="s">
        <v>16</v>
      </c>
      <c r="G13" s="5" t="s">
        <v>16</v>
      </c>
      <c r="H13" s="5" t="s">
        <v>16</v>
      </c>
      <c r="I13" s="5" t="s">
        <v>16</v>
      </c>
      <c r="J13" s="5" t="s">
        <v>16</v>
      </c>
      <c r="K13" s="35" t="s">
        <v>16</v>
      </c>
      <c r="L13" s="70" t="s">
        <v>16</v>
      </c>
      <c r="M13" s="70" t="s">
        <v>16</v>
      </c>
      <c r="N13" s="70" t="s">
        <v>16</v>
      </c>
      <c r="O13" s="70" t="s">
        <v>16</v>
      </c>
      <c r="P13" s="70" t="s">
        <v>16</v>
      </c>
      <c r="Q13" s="70" t="s">
        <v>16</v>
      </c>
      <c r="R13" s="8" t="s">
        <v>16</v>
      </c>
      <c r="S13" s="70" t="s">
        <v>16</v>
      </c>
      <c r="T13" s="70" t="s">
        <v>16</v>
      </c>
      <c r="U13" s="70" t="s">
        <v>16</v>
      </c>
      <c r="V13" s="70" t="s">
        <v>16</v>
      </c>
      <c r="W13" s="70" t="s">
        <v>16</v>
      </c>
      <c r="X13" s="71" t="s">
        <v>16</v>
      </c>
      <c r="Y13" s="8" t="s">
        <v>16</v>
      </c>
      <c r="Z13" s="70" t="s">
        <v>16</v>
      </c>
      <c r="AA13" s="70" t="s">
        <v>16</v>
      </c>
      <c r="AB13" s="70" t="s">
        <v>16</v>
      </c>
      <c r="AC13" s="70" t="s">
        <v>16</v>
      </c>
      <c r="AD13" s="70" t="s">
        <v>16</v>
      </c>
      <c r="AE13" s="71" t="s">
        <v>16</v>
      </c>
      <c r="AF13" s="8" t="s">
        <v>16</v>
      </c>
      <c r="AG13" s="70">
        <f>+AG8/$AM8*100</f>
        <v>0.20089285714285712</v>
      </c>
      <c r="AH13" s="70">
        <f aca="true" t="shared" si="0" ref="AH13:AM13">+AH8/$AM8*100</f>
        <v>7.3065476190476195</v>
      </c>
      <c r="AI13" s="70">
        <f t="shared" si="0"/>
        <v>31.88988095238095</v>
      </c>
      <c r="AJ13" s="70">
        <f t="shared" si="0"/>
        <v>38.601190476190474</v>
      </c>
      <c r="AK13" s="70">
        <f t="shared" si="0"/>
        <v>17.838541666666664</v>
      </c>
      <c r="AL13" s="70">
        <f t="shared" si="0"/>
        <v>4.162946428571428</v>
      </c>
      <c r="AM13" s="35">
        <f t="shared" si="0"/>
        <v>100</v>
      </c>
      <c r="AN13" s="70">
        <f>+AN8/$AT8*100</f>
        <v>0.19640648868844113</v>
      </c>
      <c r="AO13" s="70">
        <f aca="true" t="shared" si="1" ref="AO13:AT13">+AO8/$AT8*100</f>
        <v>5.6776023859751215</v>
      </c>
      <c r="AP13" s="70">
        <f t="shared" si="1"/>
        <v>29.024514439514075</v>
      </c>
      <c r="AQ13" s="70">
        <f t="shared" si="1"/>
        <v>40.859823961591616</v>
      </c>
      <c r="AR13" s="70">
        <f t="shared" si="1"/>
        <v>18.25125481923329</v>
      </c>
      <c r="AS13" s="70">
        <f t="shared" si="1"/>
        <v>5.9903979049974545</v>
      </c>
      <c r="AT13" s="35">
        <f t="shared" si="1"/>
        <v>100</v>
      </c>
      <c r="AU13" s="74">
        <f aca="true" t="shared" si="2" ref="AU13:AZ13">+AU8/26332*100</f>
        <v>0.19368069269330093</v>
      </c>
      <c r="AV13" s="74">
        <f t="shared" si="2"/>
        <v>5.761051192465441</v>
      </c>
      <c r="AW13" s="74">
        <f t="shared" si="2"/>
        <v>27.172261886677806</v>
      </c>
      <c r="AX13" s="74">
        <f t="shared" si="2"/>
        <v>43.72246696035242</v>
      </c>
      <c r="AY13" s="74">
        <f t="shared" si="2"/>
        <v>16.728695123803735</v>
      </c>
      <c r="AZ13" s="75">
        <f t="shared" si="2"/>
        <v>6.421844144007291</v>
      </c>
      <c r="BA13" s="9">
        <v>100</v>
      </c>
      <c r="BB13" s="70">
        <f>+BB8/$BH8*100</f>
        <v>0.15211696104115607</v>
      </c>
      <c r="BC13" s="74">
        <f aca="true" t="shared" si="3" ref="BC13:BH13">+BC8/$BH8*100</f>
        <v>4.005746640750444</v>
      </c>
      <c r="BD13" s="74">
        <f t="shared" si="3"/>
        <v>25.47114003211358</v>
      </c>
      <c r="BE13" s="74">
        <f t="shared" si="3"/>
        <v>46.96611172145694</v>
      </c>
      <c r="BF13" s="74">
        <f t="shared" si="3"/>
        <v>17.015972280909324</v>
      </c>
      <c r="BG13" s="75">
        <f t="shared" si="3"/>
        <v>6.388912363728556</v>
      </c>
      <c r="BH13" s="9">
        <f t="shared" si="3"/>
        <v>100</v>
      </c>
      <c r="BI13" s="70">
        <f>+BI8/$BO8*100</f>
        <v>0.11689343994015056</v>
      </c>
      <c r="BJ13" s="74">
        <f aca="true" t="shared" si="4" ref="BJ13:BO13">+BJ8/$BO8*100</f>
        <v>3.586290737363819</v>
      </c>
      <c r="BK13" s="74">
        <f t="shared" si="4"/>
        <v>20.17113199607238</v>
      </c>
      <c r="BL13" s="74">
        <f t="shared" si="4"/>
        <v>45.44349371113293</v>
      </c>
      <c r="BM13" s="74">
        <f t="shared" si="4"/>
        <v>16.898115677748166</v>
      </c>
      <c r="BN13" s="75">
        <f t="shared" si="4"/>
        <v>13.784074437742555</v>
      </c>
      <c r="BO13" s="9">
        <f t="shared" si="4"/>
        <v>100</v>
      </c>
      <c r="BP13" s="70">
        <f>+BP8/BV8*100</f>
        <v>1.2921217755054613</v>
      </c>
      <c r="BQ13" s="74">
        <f>+BQ8/BV8*1000</f>
        <v>284.545665814548</v>
      </c>
      <c r="BR13" s="74">
        <f>+BR8/$BV8*100</f>
        <v>43.56495468277946</v>
      </c>
      <c r="BS13" s="74">
        <f aca="true" t="shared" si="5" ref="BR13:BV16">+BS8/$BV8*100</f>
        <v>227.10202184522424</v>
      </c>
      <c r="BT13" s="74">
        <f t="shared" si="5"/>
        <v>75.52405298628864</v>
      </c>
      <c r="BU13" s="75">
        <f t="shared" si="5"/>
        <v>15.626307227515687</v>
      </c>
      <c r="BV13" s="9">
        <f t="shared" si="5"/>
        <v>100</v>
      </c>
      <c r="BW13" s="70">
        <f>+BW8/CC8*100</f>
        <v>0.12380068090374496</v>
      </c>
      <c r="BX13" s="70">
        <f>+BX8/CC8*100</f>
        <v>2.868049107603425</v>
      </c>
      <c r="BY13" s="70">
        <f>+BY8/CC8*100</f>
        <v>16.03218817703497</v>
      </c>
      <c r="BZ13" s="70">
        <f>+BZ8/CC8*100</f>
        <v>44.501186423191996</v>
      </c>
      <c r="CA13" s="70">
        <f>+CA8/CC8*100</f>
        <v>20.050551944702363</v>
      </c>
      <c r="CB13" s="70">
        <f>+CB8/CC8*100</f>
        <v>16.39843185804189</v>
      </c>
      <c r="CC13" s="35">
        <f>+CC8/CC8*100</f>
        <v>100</v>
      </c>
      <c r="CD13" s="70">
        <f>+CD8/CJ8*100</f>
        <v>0.08612734543217472</v>
      </c>
      <c r="CE13" s="70">
        <f>+CE8/CJ8*100</f>
        <v>2.1839434020301445</v>
      </c>
      <c r="CF13" s="70">
        <f>+CF8/CJ8*100</f>
        <v>17.157797600738235</v>
      </c>
      <c r="CG13" s="70">
        <f>+CG8/CJ8*100</f>
        <v>53.70039987696094</v>
      </c>
      <c r="CH13" s="70">
        <f>+CH8/CJ8*100</f>
        <v>21.390341433405105</v>
      </c>
      <c r="CI13" s="70">
        <f>+CI8/CJ8*100</f>
        <v>5.481390341433405</v>
      </c>
      <c r="CJ13" s="35">
        <f>+CJ8/CJ8*100</f>
        <v>100</v>
      </c>
    </row>
    <row r="14" spans="2:88" ht="15.75">
      <c r="B14" s="19" t="s">
        <v>10</v>
      </c>
      <c r="C14" s="66">
        <f>SUM(CC9)/K9-1</f>
        <v>-0.2557805007991476</v>
      </c>
      <c r="D14" s="67">
        <f>SUM(CC9)/AM9-1</f>
        <v>-0.255740849272737</v>
      </c>
      <c r="E14" s="59">
        <f aca="true" t="shared" si="6" ref="E14:K16">+E9/$K9*100</f>
        <v>0.22908897176345233</v>
      </c>
      <c r="F14" s="59">
        <f t="shared" si="6"/>
        <v>13.817261587639852</v>
      </c>
      <c r="G14" s="59">
        <f t="shared" si="6"/>
        <v>41.182738412360145</v>
      </c>
      <c r="H14" s="59">
        <f t="shared" si="6"/>
        <v>30.071923281832714</v>
      </c>
      <c r="I14" s="59">
        <f t="shared" si="6"/>
        <v>12.080447522642515</v>
      </c>
      <c r="J14" s="59">
        <f t="shared" si="6"/>
        <v>2.6185402237613213</v>
      </c>
      <c r="K14" s="22">
        <f t="shared" si="6"/>
        <v>100</v>
      </c>
      <c r="L14" s="59">
        <f aca="true" t="shared" si="7" ref="L14:Q16">+L9/$R9*100</f>
        <v>0.18897141807301646</v>
      </c>
      <c r="M14" s="59">
        <f t="shared" si="7"/>
        <v>12.474738195847879</v>
      </c>
      <c r="N14" s="59">
        <f t="shared" si="7"/>
        <v>40.55274139786357</v>
      </c>
      <c r="O14" s="59">
        <f t="shared" si="7"/>
        <v>31.306264927429726</v>
      </c>
      <c r="P14" s="59">
        <f t="shared" si="7"/>
        <v>12.83955801684995</v>
      </c>
      <c r="Q14" s="59">
        <f t="shared" si="7"/>
        <v>2.6377260439358547</v>
      </c>
      <c r="R14" s="22">
        <f>+R9/$R9*100</f>
        <v>100</v>
      </c>
      <c r="S14" s="59">
        <f>+S9/$Y9*100</f>
        <v>0.17755032768479595</v>
      </c>
      <c r="T14" s="59">
        <f aca="true" t="shared" si="8" ref="T14:Y16">+T9/$Y9*100</f>
        <v>10.877568604924411</v>
      </c>
      <c r="U14" s="59">
        <f t="shared" si="8"/>
        <v>37.93571633724118</v>
      </c>
      <c r="V14" s="59">
        <f t="shared" si="8"/>
        <v>33.972166375101175</v>
      </c>
      <c r="W14" s="59">
        <f t="shared" si="8"/>
        <v>14.136139324786548</v>
      </c>
      <c r="X14" s="72">
        <f t="shared" si="8"/>
        <v>2.900859030261887</v>
      </c>
      <c r="Y14" s="22">
        <f t="shared" si="8"/>
        <v>100</v>
      </c>
      <c r="Z14" s="59">
        <f>+Z9/$AF9*100</f>
        <v>0.3004532260528594</v>
      </c>
      <c r="AA14" s="59">
        <f aca="true" t="shared" si="9" ref="AA14:AF14">+AA9/$AF9*100</f>
        <v>9.41844477262311</v>
      </c>
      <c r="AB14" s="59">
        <f t="shared" si="9"/>
        <v>35.60116107348373</v>
      </c>
      <c r="AC14" s="59">
        <f t="shared" si="9"/>
        <v>35.74884147273005</v>
      </c>
      <c r="AD14" s="59">
        <f t="shared" si="9"/>
        <v>15.750878443754138</v>
      </c>
      <c r="AE14" s="72">
        <f t="shared" si="9"/>
        <v>3.180221011356114</v>
      </c>
      <c r="AF14" s="22">
        <f t="shared" si="9"/>
        <v>100</v>
      </c>
      <c r="AG14" s="59">
        <f aca="true" t="shared" si="10" ref="AG14:AL16">+AG9/$AM9*100</f>
        <v>0.21844530875379614</v>
      </c>
      <c r="AH14" s="59">
        <f t="shared" si="10"/>
        <v>7.712184985880974</v>
      </c>
      <c r="AI14" s="59">
        <f t="shared" si="10"/>
        <v>31.7571527518781</v>
      </c>
      <c r="AJ14" s="59">
        <f t="shared" si="10"/>
        <v>39.07773456231019</v>
      </c>
      <c r="AK14" s="59">
        <f t="shared" si="10"/>
        <v>17.041398049976024</v>
      </c>
      <c r="AL14" s="59">
        <f t="shared" si="10"/>
        <v>4.193084341200916</v>
      </c>
      <c r="AM14" s="22">
        <f>+AM9/$AM9*100</f>
        <v>100</v>
      </c>
      <c r="AN14" s="59">
        <f aca="true" t="shared" si="11" ref="AN14:AT16">+AN9/$AT9*100</f>
        <v>0.17744839644059393</v>
      </c>
      <c r="AO14" s="59">
        <f t="shared" si="11"/>
        <v>6.093264789540983</v>
      </c>
      <c r="AP14" s="59">
        <f t="shared" si="11"/>
        <v>28.895383732157303</v>
      </c>
      <c r="AQ14" s="59">
        <f t="shared" si="11"/>
        <v>41.0688656350304</v>
      </c>
      <c r="AR14" s="59">
        <f t="shared" si="11"/>
        <v>17.502152866574463</v>
      </c>
      <c r="AS14" s="59">
        <f t="shared" si="11"/>
        <v>6.262884580256256</v>
      </c>
      <c r="AT14" s="22">
        <f t="shared" si="11"/>
        <v>100</v>
      </c>
      <c r="AU14" s="76">
        <f aca="true" t="shared" si="12" ref="AU14:AZ15">+AU9/36800*100</f>
        <v>0.16847826086956522</v>
      </c>
      <c r="AV14" s="76">
        <f t="shared" si="12"/>
        <v>5.6875</v>
      </c>
      <c r="AW14" s="76">
        <f t="shared" si="12"/>
        <v>26.88586956521739</v>
      </c>
      <c r="AX14" s="76">
        <f t="shared" si="12"/>
        <v>44.516304347826086</v>
      </c>
      <c r="AY14" s="76">
        <f t="shared" si="12"/>
        <v>16.065217391304348</v>
      </c>
      <c r="AZ14" s="77">
        <f t="shared" si="12"/>
        <v>6.676630434782608</v>
      </c>
      <c r="BA14" s="25">
        <v>100</v>
      </c>
      <c r="BB14" s="59">
        <f>+BB9/$BH9*100</f>
        <v>0.14142604596346495</v>
      </c>
      <c r="BC14" s="76">
        <f aca="true" t="shared" si="13" ref="BC14:BH14">+BC9/$BH9*100</f>
        <v>4.926340601060695</v>
      </c>
      <c r="BD14" s="76">
        <f t="shared" si="13"/>
        <v>24.802592810842665</v>
      </c>
      <c r="BE14" s="76">
        <f t="shared" si="13"/>
        <v>47.89923394225103</v>
      </c>
      <c r="BF14" s="76">
        <f t="shared" si="13"/>
        <v>15.80730701237478</v>
      </c>
      <c r="BG14" s="77">
        <f t="shared" si="13"/>
        <v>6.423099587507367</v>
      </c>
      <c r="BH14" s="25">
        <f t="shared" si="13"/>
        <v>100</v>
      </c>
      <c r="BI14" s="59">
        <f>+BI9/$BO9*100</f>
        <v>0.11762783858846593</v>
      </c>
      <c r="BJ14" s="76">
        <f aca="true" t="shared" si="14" ref="BJ14:BO14">+BJ9/$BO9*100</f>
        <v>3.5157653978108154</v>
      </c>
      <c r="BK14" s="76">
        <f t="shared" si="14"/>
        <v>20.075151119098187</v>
      </c>
      <c r="BL14" s="76">
        <f t="shared" si="14"/>
        <v>46.312694004247675</v>
      </c>
      <c r="BM14" s="76">
        <f t="shared" si="14"/>
        <v>16.039862767521644</v>
      </c>
      <c r="BN14" s="77">
        <f t="shared" si="14"/>
        <v>13.938898872733214</v>
      </c>
      <c r="BO14" s="25">
        <f t="shared" si="14"/>
        <v>100</v>
      </c>
      <c r="BP14" s="59">
        <f>+BP9/BV9*100</f>
        <v>0.0032664793885150583</v>
      </c>
      <c r="BQ14" s="76">
        <f>+BQ9/BV9*1000</f>
        <v>1.567910106487228</v>
      </c>
      <c r="BR14" s="76">
        <f t="shared" si="5"/>
        <v>2.1036127262036977</v>
      </c>
      <c r="BS14" s="76">
        <f t="shared" si="5"/>
        <v>2.4923237734369894</v>
      </c>
      <c r="BT14" s="76">
        <f t="shared" si="5"/>
        <v>1.2379956882472072</v>
      </c>
      <c r="BU14" s="77">
        <f t="shared" si="5"/>
        <v>0.15352453126020774</v>
      </c>
      <c r="BV14" s="25">
        <f t="shared" si="5"/>
        <v>100</v>
      </c>
      <c r="BW14" s="59">
        <f>+BW9/CC9*100</f>
        <v>0.14317417137948316</v>
      </c>
      <c r="BX14" s="76">
        <f>+BX9/CC9*100</f>
        <v>2.7489440904860762</v>
      </c>
      <c r="BY14" s="76">
        <f>+BY9/CC9*100</f>
        <v>16.28248264013172</v>
      </c>
      <c r="BZ14" s="76">
        <f>+BZ9/CC9*100</f>
        <v>45.86584580141743</v>
      </c>
      <c r="CA14" s="76">
        <f>+CA9/CC9*100</f>
        <v>165.22657312620802</v>
      </c>
      <c r="CB14" s="77">
        <f>+CB9/CC9*100</f>
        <v>15.41269954900136</v>
      </c>
      <c r="CC14" s="25">
        <f>+CC9/CC9*100</f>
        <v>100</v>
      </c>
      <c r="CD14" s="59">
        <f>+CD9/CJ9*100</f>
        <v>0.0735453168937919</v>
      </c>
      <c r="CE14" s="76">
        <f>+CE9/CJ9*100</f>
        <v>2.2582738481505515</v>
      </c>
      <c r="CF14" s="76">
        <f>+CF9/CJ9*100</f>
        <v>16.772658446895957</v>
      </c>
      <c r="CG14" s="76">
        <f>+CG9/CJ9*100</f>
        <v>55.16764006056674</v>
      </c>
      <c r="CH14" s="76">
        <f>+CH9/CJ9*100</f>
        <v>20.73112697382652</v>
      </c>
      <c r="CI14" s="77">
        <f>+CI9/CJ9*100</f>
        <v>4.99675535366645</v>
      </c>
      <c r="CJ14" s="25">
        <f>+CJ9/CJ9*100</f>
        <v>100</v>
      </c>
    </row>
    <row r="15" spans="2:88" ht="15.75">
      <c r="B15" s="7" t="s">
        <v>11</v>
      </c>
      <c r="C15" s="64">
        <f>SUM(CC10)/K10-1</f>
        <v>-0.5293390982087709</v>
      </c>
      <c r="D15" s="65">
        <f>SUM(CC10)/AM10-1</f>
        <v>-0.4956982131039047</v>
      </c>
      <c r="E15" s="60">
        <f t="shared" si="6"/>
        <v>0.0926497838171711</v>
      </c>
      <c r="F15" s="60">
        <f t="shared" si="6"/>
        <v>3.9221741815935762</v>
      </c>
      <c r="G15" s="60">
        <f t="shared" si="6"/>
        <v>33.26127239036442</v>
      </c>
      <c r="H15" s="60">
        <f t="shared" si="6"/>
        <v>39.65410747374923</v>
      </c>
      <c r="I15" s="60">
        <f t="shared" si="6"/>
        <v>21.710932674490426</v>
      </c>
      <c r="J15" s="60">
        <f t="shared" si="6"/>
        <v>1.3588634959851762</v>
      </c>
      <c r="K15" s="36">
        <f t="shared" si="6"/>
        <v>100</v>
      </c>
      <c r="L15" s="60">
        <f t="shared" si="7"/>
        <v>0.07619531398818973</v>
      </c>
      <c r="M15" s="60">
        <f t="shared" si="7"/>
        <v>15.715283510064133</v>
      </c>
      <c r="N15" s="60">
        <f t="shared" si="7"/>
        <v>41.8058289415201</v>
      </c>
      <c r="O15" s="60">
        <f t="shared" si="7"/>
        <v>32.24331703600228</v>
      </c>
      <c r="P15" s="60">
        <f t="shared" si="7"/>
        <v>7.556035303828815</v>
      </c>
      <c r="Q15" s="60">
        <f t="shared" si="7"/>
        <v>2.6033398945964823</v>
      </c>
      <c r="R15" s="8">
        <f>+R10/$R10*100</f>
        <v>100</v>
      </c>
      <c r="S15" s="60">
        <f>+S10/$Y10*100</f>
        <v>0.16149870801033592</v>
      </c>
      <c r="T15" s="70">
        <f t="shared" si="8"/>
        <v>3.8436692506459944</v>
      </c>
      <c r="U15" s="70">
        <f t="shared" si="8"/>
        <v>32.332041343669246</v>
      </c>
      <c r="V15" s="70">
        <f t="shared" si="8"/>
        <v>41.246770025839794</v>
      </c>
      <c r="W15" s="70">
        <f t="shared" si="8"/>
        <v>20.704134366925064</v>
      </c>
      <c r="X15" s="71">
        <f t="shared" si="8"/>
        <v>1.7118863049095607</v>
      </c>
      <c r="Y15" s="8">
        <f t="shared" si="8"/>
        <v>100</v>
      </c>
      <c r="Z15" s="60">
        <f>+Z10/$AF10*100</f>
        <v>0.2220812182741117</v>
      </c>
      <c r="AA15" s="70">
        <f aca="true" t="shared" si="15" ref="AA15:AF15">+AA10/$AF10*100</f>
        <v>3.9974619289340105</v>
      </c>
      <c r="AB15" s="70">
        <f t="shared" si="15"/>
        <v>35.120558375634516</v>
      </c>
      <c r="AC15" s="70">
        <f t="shared" si="15"/>
        <v>38.95939086294416</v>
      </c>
      <c r="AD15" s="70">
        <f t="shared" si="15"/>
        <v>20.20939086294416</v>
      </c>
      <c r="AE15" s="71">
        <f t="shared" si="15"/>
        <v>1.4911167512690355</v>
      </c>
      <c r="AF15" s="8">
        <f t="shared" si="15"/>
        <v>100</v>
      </c>
      <c r="AG15" s="60">
        <f t="shared" si="10"/>
        <v>0.26472534745201853</v>
      </c>
      <c r="AH15" s="60">
        <f t="shared" si="10"/>
        <v>2.7796161482461947</v>
      </c>
      <c r="AI15" s="60">
        <f t="shared" si="10"/>
        <v>32.95830575777631</v>
      </c>
      <c r="AJ15" s="60">
        <f t="shared" si="10"/>
        <v>42.35605559232297</v>
      </c>
      <c r="AK15" s="60">
        <f t="shared" si="10"/>
        <v>20.84712111184646</v>
      </c>
      <c r="AL15" s="60">
        <f t="shared" si="10"/>
        <v>0.7941760423560555</v>
      </c>
      <c r="AM15" s="36">
        <f>+AM10/$AM10*100</f>
        <v>100</v>
      </c>
      <c r="AN15" s="60">
        <f t="shared" si="11"/>
        <v>0.4768392370572207</v>
      </c>
      <c r="AO15" s="60">
        <f t="shared" si="11"/>
        <v>3.303814713896458</v>
      </c>
      <c r="AP15" s="60">
        <f t="shared" si="11"/>
        <v>25.442779291553137</v>
      </c>
      <c r="AQ15" s="60">
        <f t="shared" si="11"/>
        <v>49.216621253406</v>
      </c>
      <c r="AR15" s="60">
        <f t="shared" si="11"/>
        <v>19.82288828337875</v>
      </c>
      <c r="AS15" s="60">
        <f t="shared" si="11"/>
        <v>1.737057220708447</v>
      </c>
      <c r="AT15" s="36">
        <f t="shared" si="11"/>
        <v>100</v>
      </c>
      <c r="AU15" s="78">
        <f t="shared" si="12"/>
        <v>0.01358695652173913</v>
      </c>
      <c r="AV15" s="78">
        <f t="shared" si="12"/>
        <v>0.21739130434782608</v>
      </c>
      <c r="AW15" s="78">
        <f t="shared" si="12"/>
        <v>2.660326086956522</v>
      </c>
      <c r="AX15" s="78">
        <f t="shared" si="12"/>
        <v>3.269021739130435</v>
      </c>
      <c r="AY15" s="78">
        <f t="shared" si="12"/>
        <v>1.4157608695652173</v>
      </c>
      <c r="AZ15" s="79">
        <f t="shared" si="12"/>
        <v>0.17391304347826086</v>
      </c>
      <c r="BA15" s="9"/>
      <c r="BB15" s="60">
        <f>+BB10/$BH10*100</f>
        <v>0.08</v>
      </c>
      <c r="BC15" s="74">
        <f aca="true" t="shared" si="16" ref="BC15:BH15">+BC10/$BH10*100</f>
        <v>2.12</v>
      </c>
      <c r="BD15" s="74">
        <f t="shared" si="16"/>
        <v>38.64</v>
      </c>
      <c r="BE15" s="74">
        <f t="shared" si="16"/>
        <v>37</v>
      </c>
      <c r="BF15" s="74">
        <f t="shared" si="16"/>
        <v>19.68</v>
      </c>
      <c r="BG15" s="75">
        <f t="shared" si="16"/>
        <v>2.48</v>
      </c>
      <c r="BH15" s="9">
        <f t="shared" si="16"/>
        <v>100</v>
      </c>
      <c r="BI15" s="60">
        <f>+BI10/$BO10*100</f>
        <v>0.13895321908290875</v>
      </c>
      <c r="BJ15" s="74">
        <f aca="true" t="shared" si="17" ref="BJ15:BO15">+BJ10/$BO10*100</f>
        <v>1.667438628994905</v>
      </c>
      <c r="BK15" s="74">
        <f t="shared" si="17"/>
        <v>37.47105141269106</v>
      </c>
      <c r="BL15" s="74">
        <f t="shared" si="17"/>
        <v>37.332098193608154</v>
      </c>
      <c r="BM15" s="74">
        <f t="shared" si="17"/>
        <v>20.750347383047707</v>
      </c>
      <c r="BN15" s="75">
        <f t="shared" si="17"/>
        <v>2.6401111625752662</v>
      </c>
      <c r="BO15" s="9">
        <f t="shared" si="17"/>
        <v>100</v>
      </c>
      <c r="BP15" s="60">
        <f>+BP10/BV10*100</f>
        <v>1.8597236981934113</v>
      </c>
      <c r="BQ15" s="74">
        <f>+BQ10/BV10*1000</f>
        <v>1099.3623804463336</v>
      </c>
      <c r="BR15" s="74">
        <f t="shared" si="5"/>
        <v>327.84272051009566</v>
      </c>
      <c r="BS15" s="74">
        <f t="shared" si="5"/>
        <v>815.4091392136027</v>
      </c>
      <c r="BT15" s="74">
        <f t="shared" si="5"/>
        <v>310.52072263549417</v>
      </c>
      <c r="BU15" s="75">
        <f t="shared" si="5"/>
        <v>61.10520722635494</v>
      </c>
      <c r="BV15" s="9">
        <f t="shared" si="5"/>
        <v>100</v>
      </c>
      <c r="BW15" s="60">
        <f>+BW10/CC10*100</f>
        <v>0.06561679790026247</v>
      </c>
      <c r="BX15" s="74">
        <f>+BX10/CC10*100</f>
        <v>2.3622047244094486</v>
      </c>
      <c r="BY15" s="74">
        <f>+BY10/CC10*100</f>
        <v>30.118110236220474</v>
      </c>
      <c r="BZ15" s="74">
        <f>+BZ10/CC10*100</f>
        <v>43.24146981627297</v>
      </c>
      <c r="CA15" s="74">
        <f>+CA10/CC10*100</f>
        <v>21.784776902887142</v>
      </c>
      <c r="CB15" s="75">
        <f>+CB10/CC10*100</f>
        <v>2.4278215223097113</v>
      </c>
      <c r="CC15" s="9">
        <f>+CC10/CC10*100</f>
        <v>100</v>
      </c>
      <c r="CD15" s="60">
        <f>+CD10/CJ10*100</f>
        <v>0.17137960582690662</v>
      </c>
      <c r="CE15" s="74">
        <f>+CE10/CJ10*100</f>
        <v>1.2853470437017995</v>
      </c>
      <c r="CF15" s="74">
        <f>+CF10/CJ10*100</f>
        <v>21.079691516709513</v>
      </c>
      <c r="CG15" s="74">
        <f>+CG10/CJ10*100</f>
        <v>26.563838903170524</v>
      </c>
      <c r="CH15" s="74">
        <f>+CH10/CJ10*100</f>
        <v>14.652956298200515</v>
      </c>
      <c r="CI15" s="75">
        <f>+CI10/CJ10*100</f>
        <v>36.246786632390744</v>
      </c>
      <c r="CJ15" s="9">
        <f>+CJ10/CJ10*100</f>
        <v>100</v>
      </c>
    </row>
    <row r="16" spans="2:88" s="37" customFormat="1" ht="15.75">
      <c r="B16" s="55" t="s">
        <v>0</v>
      </c>
      <c r="C16" s="68">
        <f>SUM(CC11)/K11-1</f>
        <v>-0.24221961758480137</v>
      </c>
      <c r="D16" s="69">
        <f>SUM(CC11)/AM11-1</f>
        <v>-0.23760494218279737</v>
      </c>
      <c r="E16" s="61">
        <f t="shared" si="6"/>
        <v>0.5466822944911919</v>
      </c>
      <c r="F16" s="61">
        <f t="shared" si="6"/>
        <v>16.154680475132515</v>
      </c>
      <c r="G16" s="61">
        <f t="shared" si="6"/>
        <v>34.27479313541976</v>
      </c>
      <c r="H16" s="61">
        <f t="shared" si="6"/>
        <v>34.214439410107936</v>
      </c>
      <c r="I16" s="61">
        <f t="shared" si="6"/>
        <v>12.535206339765233</v>
      </c>
      <c r="J16" s="61">
        <f t="shared" si="6"/>
        <v>2.274198345083358</v>
      </c>
      <c r="K16" s="57">
        <f t="shared" si="6"/>
        <v>100</v>
      </c>
      <c r="L16" s="61">
        <f t="shared" si="7"/>
        <v>0.5421432326906336</v>
      </c>
      <c r="M16" s="61">
        <f t="shared" si="7"/>
        <v>15.226553813533759</v>
      </c>
      <c r="N16" s="61">
        <f t="shared" si="7"/>
        <v>33.15348083536601</v>
      </c>
      <c r="O16" s="61">
        <f t="shared" si="7"/>
        <v>35.851268304875845</v>
      </c>
      <c r="P16" s="61">
        <f t="shared" si="7"/>
        <v>13.037294972461883</v>
      </c>
      <c r="Q16" s="61">
        <f t="shared" si="7"/>
        <v>2.189258841071875</v>
      </c>
      <c r="R16" s="57">
        <f>+R11/$R11*100</f>
        <v>100</v>
      </c>
      <c r="S16" s="61">
        <f>+S11/$Y11*100</f>
        <v>0.44341722307824005</v>
      </c>
      <c r="T16" s="61">
        <f t="shared" si="8"/>
        <v>13.57301831878103</v>
      </c>
      <c r="U16" s="61">
        <f t="shared" si="8"/>
        <v>31.70347543228899</v>
      </c>
      <c r="V16" s="61">
        <f t="shared" si="8"/>
        <v>38.13473720253381</v>
      </c>
      <c r="W16" s="61">
        <f t="shared" si="8"/>
        <v>13.81783941105975</v>
      </c>
      <c r="X16" s="73">
        <f t="shared" si="8"/>
        <v>2.3275124122581747</v>
      </c>
      <c r="Y16" s="57">
        <f t="shared" si="8"/>
        <v>100</v>
      </c>
      <c r="Z16" s="61">
        <f>+Z11/$AF11*100</f>
        <v>0.5402389225657545</v>
      </c>
      <c r="AA16" s="61">
        <f aca="true" t="shared" si="18" ref="AA16:AF16">+AA11/$AF11*100</f>
        <v>12.030672720048022</v>
      </c>
      <c r="AB16" s="61">
        <f t="shared" si="18"/>
        <v>30.256761440975303</v>
      </c>
      <c r="AC16" s="61">
        <f t="shared" si="18"/>
        <v>39.49493156128203</v>
      </c>
      <c r="AD16" s="61">
        <f t="shared" si="18"/>
        <v>14.895883531590027</v>
      </c>
      <c r="AE16" s="73">
        <f t="shared" si="18"/>
        <v>2.7815118235388607</v>
      </c>
      <c r="AF16" s="57">
        <f t="shared" si="18"/>
        <v>100</v>
      </c>
      <c r="AG16" s="61">
        <f t="shared" si="10"/>
        <v>0.40832849323265924</v>
      </c>
      <c r="AH16" s="61">
        <f t="shared" si="10"/>
        <v>9.998767974373866</v>
      </c>
      <c r="AI16" s="61">
        <f t="shared" si="10"/>
        <v>28.33306932784202</v>
      </c>
      <c r="AJ16" s="61">
        <f t="shared" si="10"/>
        <v>42.51720435785064</v>
      </c>
      <c r="AK16" s="61">
        <f t="shared" si="10"/>
        <v>15.571923896017037</v>
      </c>
      <c r="AL16" s="61">
        <f t="shared" si="10"/>
        <v>3.1707059506837743</v>
      </c>
      <c r="AM16" s="57">
        <f>+AM11/$AM11*100</f>
        <v>100</v>
      </c>
      <c r="AN16" s="61">
        <f t="shared" si="11"/>
        <v>0.4051044878383008</v>
      </c>
      <c r="AO16" s="61">
        <f t="shared" si="11"/>
        <v>8.773552586502227</v>
      </c>
      <c r="AP16" s="61">
        <f t="shared" si="11"/>
        <v>26.417437478588557</v>
      </c>
      <c r="AQ16" s="61">
        <f t="shared" si="11"/>
        <v>44.116992120589245</v>
      </c>
      <c r="AR16" s="61">
        <f t="shared" si="11"/>
        <v>16.795135320315175</v>
      </c>
      <c r="AS16" s="61">
        <f t="shared" si="11"/>
        <v>3.4917780061664954</v>
      </c>
      <c r="AT16" s="57">
        <f t="shared" si="11"/>
        <v>100</v>
      </c>
      <c r="AU16" s="80">
        <f aca="true" t="shared" si="19" ref="AU16:AZ16">+AU11/116414*100</f>
        <v>0.3556273300462144</v>
      </c>
      <c r="AV16" s="80">
        <f t="shared" si="19"/>
        <v>8.130465407940626</v>
      </c>
      <c r="AW16" s="80">
        <f t="shared" si="19"/>
        <v>24.757331592420158</v>
      </c>
      <c r="AX16" s="80">
        <f t="shared" si="19"/>
        <v>46.30199116944697</v>
      </c>
      <c r="AY16" s="80">
        <f t="shared" si="19"/>
        <v>15.659628567010841</v>
      </c>
      <c r="AZ16" s="81">
        <f t="shared" si="19"/>
        <v>4.79495593313519</v>
      </c>
      <c r="BA16" s="56">
        <v>100</v>
      </c>
      <c r="BB16" s="61">
        <f>+BB11/$BH11*100</f>
        <v>0.3957063178721385</v>
      </c>
      <c r="BC16" s="80">
        <f aca="true" t="shared" si="20" ref="BC16:BH16">+BC11/$BH11*100</f>
        <v>7.528267934359305</v>
      </c>
      <c r="BD16" s="80">
        <f t="shared" si="20"/>
        <v>23.24550801708162</v>
      </c>
      <c r="BE16" s="80">
        <f t="shared" si="20"/>
        <v>49.01386762638878</v>
      </c>
      <c r="BF16" s="80">
        <f t="shared" si="20"/>
        <v>16.001933768431233</v>
      </c>
      <c r="BG16" s="81">
        <f t="shared" si="20"/>
        <v>3.814716335866928</v>
      </c>
      <c r="BH16" s="56">
        <f t="shared" si="20"/>
        <v>100</v>
      </c>
      <c r="BI16" s="61">
        <f>+BI11/$BO11*100</f>
        <v>0.3287610261390305</v>
      </c>
      <c r="BJ16" s="80">
        <f aca="true" t="shared" si="21" ref="BJ16:BO16">+BJ11/$BO11*100</f>
        <v>6.311200129481266</v>
      </c>
      <c r="BK16" s="80">
        <f t="shared" si="21"/>
        <v>20.8616573602007</v>
      </c>
      <c r="BL16" s="80">
        <f t="shared" si="21"/>
        <v>49.72991017237193</v>
      </c>
      <c r="BM16" s="80">
        <f t="shared" si="21"/>
        <v>16.26709557335923</v>
      </c>
      <c r="BN16" s="81">
        <f t="shared" si="21"/>
        <v>6.501375738447843</v>
      </c>
      <c r="BO16" s="56">
        <f t="shared" si="21"/>
        <v>100</v>
      </c>
      <c r="BP16" s="61">
        <f>+BP11/BV11*100</f>
        <v>0.034197898966582235</v>
      </c>
      <c r="BQ16" s="80">
        <f>+BQ11/BV11*1000</f>
        <v>15.592104560076091</v>
      </c>
      <c r="BR16" s="80">
        <f t="shared" si="5"/>
        <v>4.728928216472701</v>
      </c>
      <c r="BS16" s="80">
        <f t="shared" si="5"/>
        <v>11.216910861038976</v>
      </c>
      <c r="BT16" s="80">
        <f t="shared" si="5"/>
        <v>4.517328716616973</v>
      </c>
      <c r="BU16" s="81">
        <f t="shared" si="5"/>
        <v>0.9468543276372458</v>
      </c>
      <c r="BV16" s="56">
        <f t="shared" si="5"/>
        <v>100</v>
      </c>
      <c r="BW16" s="61">
        <f>+BW11/CC11*100</f>
        <v>0.27702749497887663</v>
      </c>
      <c r="BX16" s="80">
        <f>+BX11/CC11*100</f>
        <v>4.812198444028903</v>
      </c>
      <c r="BY16" s="80">
        <f>+BY11/CC11*100</f>
        <v>17.766696677978622</v>
      </c>
      <c r="BZ16" s="80">
        <f>+BZ11/CC11*100</f>
        <v>51.38744603735253</v>
      </c>
      <c r="CA16" s="80">
        <f>+CA11/CC11*100</f>
        <v>18.159152295865365</v>
      </c>
      <c r="CB16" s="81">
        <f>+CB11/CC11*100</f>
        <v>7.597479049795693</v>
      </c>
      <c r="CC16" s="56">
        <f>+CC11/CC11*100</f>
        <v>100</v>
      </c>
      <c r="CD16" s="61">
        <f>+CD11/CJ11*100</f>
        <v>0.25925977829785446</v>
      </c>
      <c r="CE16" s="80">
        <f>+CE11/CJ11*100</f>
        <v>4.197205600011211</v>
      </c>
      <c r="CF16" s="80">
        <f>+CF11/CJ11*100</f>
        <v>17.3115461692616</v>
      </c>
      <c r="CG16" s="80">
        <f>+CG11/CJ11*100</f>
        <v>55.68900037837914</v>
      </c>
      <c r="CH16" s="80">
        <f>+CH11/CJ11*100</f>
        <v>17.872107852067774</v>
      </c>
      <c r="CI16" s="81">
        <f>+CI11/CJ11*100</f>
        <v>4.670880221982427</v>
      </c>
      <c r="CJ16" s="56">
        <f>+CJ11/CJ11*100</f>
        <v>100</v>
      </c>
    </row>
    <row r="17" spans="2:16" ht="15.75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2:16" ht="20.25" customHeight="1">
      <c r="B18" s="86" t="s">
        <v>19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4" ht="15.75">
      <c r="B19" s="3" t="s">
        <v>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ht="15.75">
      <c r="B20" s="3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2:14" ht="15.75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</sheetData>
  <sheetProtection/>
  <mergeCells count="18">
    <mergeCell ref="CD6:CJ6"/>
    <mergeCell ref="CC5:CJ5"/>
    <mergeCell ref="BW6:CC6"/>
    <mergeCell ref="BI6:BO6"/>
    <mergeCell ref="BP6:BV6"/>
    <mergeCell ref="B21:N21"/>
    <mergeCell ref="E6:K6"/>
    <mergeCell ref="AN6:AT6"/>
    <mergeCell ref="BB6:BH6"/>
    <mergeCell ref="Z6:AF6"/>
    <mergeCell ref="S6:Y6"/>
    <mergeCell ref="L6:R6"/>
    <mergeCell ref="B18:P18"/>
    <mergeCell ref="B6:B7"/>
    <mergeCell ref="AG6:AM6"/>
    <mergeCell ref="B3:P3"/>
    <mergeCell ref="AU6:BA6"/>
    <mergeCell ref="B2:Q2"/>
  </mergeCells>
  <hyperlinks>
    <hyperlink ref="B19" r:id="rId1" display="http://www.deis.msal.gov.ar/index.php/boletines-2/"/>
  </hyperlinks>
  <printOptions/>
  <pageMargins left="0.7" right="0.7" top="0.75" bottom="0.75" header="0.3" footer="0.3"/>
  <pageSetup fitToHeight="1" fitToWidth="1" horizontalDpi="600" verticalDpi="600" orientation="landscape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De Paula</dc:creator>
  <cp:keywords/>
  <dc:description/>
  <cp:lastModifiedBy>Paula Segovia</cp:lastModifiedBy>
  <cp:lastPrinted>2017-03-06T16:36:38Z</cp:lastPrinted>
  <dcterms:created xsi:type="dcterms:W3CDTF">2016-11-03T15:11:27Z</dcterms:created>
  <dcterms:modified xsi:type="dcterms:W3CDTF">2021-09-21T16:45:48Z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